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codeName="ThisWorkbook" defaultThemeVersion="124226"/>
  <mc:AlternateContent xmlns:mc="http://schemas.openxmlformats.org/markup-compatibility/2006">
    <mc:Choice Requires="x15">
      <x15ac:absPath xmlns:x15ac="http://schemas.microsoft.com/office/spreadsheetml/2010/11/ac" url="\\LANDISK\share\共有フォルダ\組合入札参加資格申請\令和8・9年度 入札参加資格審査定期申請（準備フォルダー）\令和8・9年度 入札参加資格審査定期申請（津南町データ）\03_物品 - 組合\"/>
    </mc:Choice>
  </mc:AlternateContent>
  <xr:revisionPtr revIDLastSave="0" documentId="13_ncr:1_{C265262D-4B77-4B5D-83CE-B89876DC375B}" xr6:coauthVersionLast="47" xr6:coauthVersionMax="47" xr10:uidLastSave="{00000000-0000-0000-0000-000000000000}"/>
  <bookViews>
    <workbookView xWindow="-120" yWindow="-120" windowWidth="29040" windowHeight="15720" tabRatio="709" xr2:uid="{00000000-000D-0000-FFFF-FFFF00000000}"/>
  </bookViews>
  <sheets>
    <sheet name="第１号様式" sheetId="25" r:id="rId1"/>
    <sheet name="別紙１" sheetId="6" r:id="rId2"/>
    <sheet name="別紙２" sheetId="5" r:id="rId3"/>
    <sheet name="別紙4-1（物品）" sheetId="30" r:id="rId4"/>
    <sheet name="別紙4-2（役務）" sheetId="33" r:id="rId5"/>
    <sheet name="別紙4-3（賃貸借）" sheetId="34" r:id="rId6"/>
    <sheet name="別紙５" sheetId="31" r:id="rId7"/>
  </sheets>
  <externalReferences>
    <externalReference r:id="rId8"/>
    <externalReference r:id="rId9"/>
  </externalReferences>
  <definedNames>
    <definedName name="_xlnm._FilterDatabase" localSheetId="0" hidden="1">第１号様式!$B$33:$AC$51</definedName>
    <definedName name="_xlnm._FilterDatabase" localSheetId="3" hidden="1">'別紙4-1（物品）'!$T$1:$T$184</definedName>
    <definedName name="_xlnm._FilterDatabase" localSheetId="4" hidden="1">'別紙4-2（役務）'!$T$1:$T$59</definedName>
    <definedName name="_xlnm._FilterDatabase" localSheetId="5" hidden="1">'別紙4-3（賃貸借）'!$T$1:$T$7</definedName>
    <definedName name="_xlnm.Print_Area" localSheetId="0">第１号様式!$A$1:$AC$44</definedName>
    <definedName name="_xlnm.Print_Area" localSheetId="1">別紙１!$A$1:$Z$53</definedName>
    <definedName name="_xlnm.Print_Area" localSheetId="2">別紙２!$A$1:$AE$40</definedName>
    <definedName name="_xlnm.Print_Area" localSheetId="3">'別紙4-1（物品）'!$A$1:$Q$183</definedName>
    <definedName name="_xlnm.Print_Area" localSheetId="4">'別紙4-2（役務）'!$A$1:$Q$58</definedName>
    <definedName name="_xlnm.Print_Area" localSheetId="5">'別紙4-3（賃貸借）'!$A$1:$Q$7</definedName>
    <definedName name="_xlnm.Print_Area" localSheetId="6">別紙５!$A$1:$AF$14</definedName>
    <definedName name="_xlnm.Print_Titles" localSheetId="3">'別紙4-1（物品）'!$1:$2</definedName>
    <definedName name="_xlnm.Print_Titles" localSheetId="4">'別紙4-2（役務）'!$1:$2</definedName>
    <definedName name="_xlnm.Print_Titles" localSheetId="5">'別紙4-3（賃貸借）'!$1:$2</definedName>
    <definedName name="市町村コード取得" localSheetId="0">#REF!</definedName>
    <definedName name="市町村コード取得" localSheetId="3">'[1]第１号様式　別紙１'!#REF!</definedName>
    <definedName name="市町村コード取得" localSheetId="4">'[1]第１号様式　別紙１'!#REF!</definedName>
    <definedName name="市町村コード取得" localSheetId="5">'[1]第１号様式　別紙１'!#REF!</definedName>
    <definedName name="市町村コード取得" localSheetId="6">'[2]第１号様式　別紙１'!#REF!</definedName>
    <definedName name="市町村コード取得">#REF!</definedName>
    <definedName name="代理人" localSheetId="6">#REF!</definedName>
    <definedName name="代理人">別紙２!$AK$4:$AK$5</definedName>
    <definedName name="代理人の有無" localSheetId="6">#REF!</definedName>
    <definedName name="代理人の有無">別紙２!$AK$3:$AK$5</definedName>
    <definedName name="代理人を置かない" localSheetId="6">#REF!</definedName>
    <definedName name="代理人を置かない">別紙２!$AM$4:$AM$5</definedName>
    <definedName name="代理人を置く" localSheetId="6">#REF!</definedName>
    <definedName name="代理人を置く">別紙２!$AL$4</definedName>
    <definedName name="置かない" localSheetId="6">#REF!</definedName>
    <definedName name="置かない">別紙２!$AL$21:$AL$23</definedName>
    <definedName name="置く" localSheetId="6">#REF!</definedName>
    <definedName name="置く">別紙２!$AK$21:$AK$22</definedName>
    <definedName name="中分類コード" localSheetId="0">第１号様式!$AH$34:$AH$67</definedName>
    <definedName name="中分類コード" localSheetId="3">#REF!</definedName>
    <definedName name="中分類コード" localSheetId="4">#REF!</definedName>
    <definedName name="中分類コード" localSheetId="5">#REF!</definedName>
    <definedName name="中分類コード" localSheetId="6">#REF!</definedName>
    <definedName name="中分類コード">#REF!</definedName>
    <definedName name="中分類コード表" localSheetId="0">第１号様式!$AH$34:$AI$68</definedName>
    <definedName name="中分類コード表" localSheetId="3">#REF!</definedName>
    <definedName name="中分類コード表" localSheetId="4">#REF!</definedName>
    <definedName name="中分類コード表" localSheetId="5">#REF!</definedName>
    <definedName name="中分類コード表" localSheetId="6">#REF!</definedName>
    <definedName name="中分類コード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4" i="33" l="1"/>
  <c r="R54" i="33"/>
  <c r="U53" i="33"/>
  <c r="T53" i="33"/>
  <c r="V52" i="33"/>
  <c r="U52" i="33"/>
  <c r="T52" i="33"/>
  <c r="V51" i="33"/>
  <c r="U51" i="33"/>
  <c r="T51" i="33"/>
  <c r="T30" i="33" l="1"/>
  <c r="R30" i="33"/>
  <c r="U28" i="33"/>
  <c r="V27" i="33"/>
  <c r="U27" i="33"/>
  <c r="T27" i="33"/>
  <c r="T18" i="33"/>
  <c r="R18" i="33"/>
  <c r="V16" i="33"/>
  <c r="U16" i="33"/>
  <c r="T16" i="33"/>
  <c r="V15" i="33"/>
  <c r="U15" i="33"/>
  <c r="T15" i="33"/>
  <c r="T14" i="33"/>
  <c r="R14" i="33"/>
  <c r="V12" i="33"/>
  <c r="U12" i="33"/>
  <c r="T12" i="33"/>
  <c r="V11" i="33"/>
  <c r="U11" i="33"/>
  <c r="T11" i="33"/>
  <c r="M41" i="25"/>
  <c r="M38" i="25"/>
  <c r="M39" i="25"/>
  <c r="M40" i="25"/>
  <c r="M37" i="25"/>
  <c r="V40" i="25"/>
  <c r="V38" i="25"/>
  <c r="V39" i="25"/>
  <c r="V37" i="25"/>
  <c r="T6" i="34"/>
  <c r="R6" i="34"/>
  <c r="U4" i="34"/>
  <c r="T4" i="34"/>
  <c r="V3" i="34"/>
  <c r="U3" i="34"/>
  <c r="T3" i="34"/>
  <c r="T58" i="33"/>
  <c r="R58" i="33"/>
  <c r="U55" i="33"/>
  <c r="T55" i="33"/>
  <c r="T50" i="33"/>
  <c r="R50" i="33"/>
  <c r="U49" i="33"/>
  <c r="T49" i="33"/>
  <c r="V48" i="33"/>
  <c r="U48" i="33"/>
  <c r="T48" i="33"/>
  <c r="V47" i="33"/>
  <c r="U47" i="33"/>
  <c r="T47" i="33"/>
  <c r="T46" i="33"/>
  <c r="R46" i="33"/>
  <c r="V45" i="33"/>
  <c r="U45" i="33"/>
  <c r="T45" i="33"/>
  <c r="V43" i="33"/>
  <c r="U43" i="33"/>
  <c r="T43" i="33"/>
  <c r="T42" i="33"/>
  <c r="R42" i="33"/>
  <c r="U39" i="33"/>
  <c r="T39" i="33"/>
  <c r="T38" i="33"/>
  <c r="R38" i="33"/>
  <c r="V35" i="33"/>
  <c r="U35" i="33"/>
  <c r="T35" i="33"/>
  <c r="T34" i="33"/>
  <c r="R34" i="33"/>
  <c r="V33" i="33"/>
  <c r="U33" i="33"/>
  <c r="T33" i="33"/>
  <c r="V31" i="33"/>
  <c r="U31" i="33"/>
  <c r="T31" i="33"/>
  <c r="T26" i="33"/>
  <c r="R26" i="33"/>
  <c r="U24" i="33"/>
  <c r="V23" i="33"/>
  <c r="U23" i="33"/>
  <c r="T23" i="33"/>
  <c r="T22" i="33"/>
  <c r="R22" i="33"/>
  <c r="V20" i="33"/>
  <c r="U20" i="33"/>
  <c r="T20" i="33"/>
  <c r="V19" i="33"/>
  <c r="U19" i="33"/>
  <c r="T19" i="33"/>
  <c r="T10" i="33"/>
  <c r="R10" i="33"/>
  <c r="T9" i="33"/>
  <c r="V8" i="33"/>
  <c r="U8" i="33"/>
  <c r="T8" i="33"/>
  <c r="V7" i="33"/>
  <c r="U7" i="33"/>
  <c r="T7" i="33"/>
  <c r="T6" i="33"/>
  <c r="R6" i="33"/>
  <c r="U4" i="33"/>
  <c r="T4" i="33"/>
  <c r="V3" i="33"/>
  <c r="U3" i="33"/>
  <c r="T3" i="33"/>
  <c r="AB50" i="6" l="1"/>
  <c r="AB49" i="6"/>
  <c r="AB48" i="6"/>
  <c r="AB47" i="6"/>
  <c r="Q1" i="31" l="1"/>
  <c r="L13" i="31" l="1"/>
  <c r="H13" i="31"/>
  <c r="L11" i="31"/>
  <c r="H11" i="31"/>
  <c r="L8" i="31"/>
  <c r="H8" i="31"/>
  <c r="L5" i="31"/>
  <c r="H5" i="31"/>
  <c r="AD9" i="6" l="1"/>
  <c r="AB9" i="6"/>
  <c r="R183" i="30" l="1"/>
  <c r="R179" i="30"/>
  <c r="R175" i="30"/>
  <c r="R171" i="30"/>
  <c r="R167" i="30"/>
  <c r="R163" i="30"/>
  <c r="R159" i="30"/>
  <c r="R155" i="30"/>
  <c r="R151" i="30"/>
  <c r="R147" i="30"/>
  <c r="R143" i="30"/>
  <c r="R139" i="30"/>
  <c r="R135" i="30"/>
  <c r="R131" i="30"/>
  <c r="R127" i="30"/>
  <c r="R123" i="30"/>
  <c r="R119" i="30"/>
  <c r="R115" i="30"/>
  <c r="R111" i="30"/>
  <c r="R107" i="30"/>
  <c r="R103" i="30"/>
  <c r="R99" i="30"/>
  <c r="R95" i="30"/>
  <c r="R91" i="30"/>
  <c r="R87" i="30"/>
  <c r="R11" i="30"/>
  <c r="T183" i="30" l="1"/>
  <c r="U180" i="30"/>
  <c r="T180" i="30"/>
  <c r="T179" i="30"/>
  <c r="V176" i="30"/>
  <c r="U176" i="30"/>
  <c r="T176" i="30"/>
  <c r="T175" i="30"/>
  <c r="U173" i="30"/>
  <c r="T173" i="30"/>
  <c r="V172" i="30"/>
  <c r="U172" i="30"/>
  <c r="T172" i="30"/>
  <c r="T171" i="30"/>
  <c r="V170" i="30"/>
  <c r="U170" i="30"/>
  <c r="T170" i="30"/>
  <c r="V169" i="30"/>
  <c r="U169" i="30"/>
  <c r="T169" i="30"/>
  <c r="V168" i="30"/>
  <c r="U168" i="30"/>
  <c r="T168" i="30"/>
  <c r="T167" i="30"/>
  <c r="V166" i="30"/>
  <c r="U166" i="30"/>
  <c r="T166" i="30"/>
  <c r="V165" i="30"/>
  <c r="U165" i="30"/>
  <c r="T165" i="30"/>
  <c r="V164" i="30"/>
  <c r="U164" i="30"/>
  <c r="T164" i="30"/>
  <c r="T163" i="30"/>
  <c r="V162" i="30"/>
  <c r="U162" i="30"/>
  <c r="T162" i="30"/>
  <c r="V161" i="30"/>
  <c r="U161" i="30"/>
  <c r="T161" i="30"/>
  <c r="V160" i="30"/>
  <c r="U160" i="30"/>
  <c r="T160" i="30"/>
  <c r="T159" i="30"/>
  <c r="V158" i="30"/>
  <c r="U158" i="30"/>
  <c r="T158" i="30"/>
  <c r="V157" i="30"/>
  <c r="U157" i="30"/>
  <c r="T157" i="30"/>
  <c r="V156" i="30"/>
  <c r="U156" i="30"/>
  <c r="T156" i="30"/>
  <c r="T155" i="30"/>
  <c r="V153" i="30"/>
  <c r="U153" i="30"/>
  <c r="T153" i="30"/>
  <c r="V152" i="30"/>
  <c r="U152" i="30"/>
  <c r="T152" i="30"/>
  <c r="T151" i="30"/>
  <c r="T149" i="30"/>
  <c r="V148" i="30"/>
  <c r="U148" i="30"/>
  <c r="T148" i="30"/>
  <c r="T147" i="30"/>
  <c r="T146" i="30"/>
  <c r="V145" i="30"/>
  <c r="U145" i="30"/>
  <c r="T145" i="30"/>
  <c r="V144" i="30"/>
  <c r="U144" i="30"/>
  <c r="T144" i="30"/>
  <c r="T143" i="30"/>
  <c r="U140" i="30"/>
  <c r="T140" i="30"/>
  <c r="T139" i="30"/>
  <c r="V137" i="30"/>
  <c r="U137" i="30"/>
  <c r="T137" i="30"/>
  <c r="V136" i="30"/>
  <c r="U136" i="30"/>
  <c r="T136" i="30"/>
  <c r="T135" i="30"/>
  <c r="V133" i="30"/>
  <c r="U133" i="30"/>
  <c r="T133" i="30"/>
  <c r="V132" i="30"/>
  <c r="U132" i="30"/>
  <c r="T132" i="30"/>
  <c r="T131" i="30"/>
  <c r="U128" i="30"/>
  <c r="T128" i="30"/>
  <c r="T127" i="30"/>
  <c r="U125" i="30"/>
  <c r="T125" i="30"/>
  <c r="V124" i="30"/>
  <c r="U124" i="30"/>
  <c r="T124" i="30"/>
  <c r="T123" i="30"/>
  <c r="V122" i="30"/>
  <c r="U122" i="30"/>
  <c r="T122" i="30"/>
  <c r="V121" i="30"/>
  <c r="U121" i="30"/>
  <c r="T121" i="30"/>
  <c r="V120" i="30"/>
  <c r="U120" i="30"/>
  <c r="T120" i="30"/>
  <c r="T119" i="30"/>
  <c r="U117" i="30"/>
  <c r="T117" i="30"/>
  <c r="V116" i="30"/>
  <c r="U116" i="30"/>
  <c r="T116" i="30"/>
  <c r="T115" i="30"/>
  <c r="U114" i="30"/>
  <c r="T114" i="30"/>
  <c r="V113" i="30"/>
  <c r="U113" i="30"/>
  <c r="T113" i="30"/>
  <c r="V112" i="30"/>
  <c r="U112" i="30"/>
  <c r="T112" i="30"/>
  <c r="T111" i="30"/>
  <c r="T110" i="30"/>
  <c r="V109" i="30"/>
  <c r="U109" i="30"/>
  <c r="T109" i="30"/>
  <c r="V108" i="30"/>
  <c r="U108" i="30"/>
  <c r="T108" i="30"/>
  <c r="T107" i="30"/>
  <c r="V106" i="30"/>
  <c r="U106" i="30"/>
  <c r="T106" i="30"/>
  <c r="V105" i="30"/>
  <c r="U105" i="30"/>
  <c r="T105" i="30"/>
  <c r="V104" i="30"/>
  <c r="U104" i="30"/>
  <c r="T104" i="30"/>
  <c r="T103" i="30"/>
  <c r="U102" i="30"/>
  <c r="T102" i="30"/>
  <c r="V101" i="30"/>
  <c r="U101" i="30"/>
  <c r="T101" i="30"/>
  <c r="V100" i="30"/>
  <c r="U100" i="30"/>
  <c r="T100" i="30"/>
  <c r="T99" i="30"/>
  <c r="V98" i="30"/>
  <c r="U98" i="30"/>
  <c r="T98" i="30"/>
  <c r="V97" i="30"/>
  <c r="U97" i="30"/>
  <c r="T97" i="30"/>
  <c r="V96" i="30"/>
  <c r="U96" i="30"/>
  <c r="T96" i="30"/>
  <c r="T95" i="30"/>
  <c r="V94" i="30"/>
  <c r="U94" i="30"/>
  <c r="T94" i="30"/>
  <c r="V93" i="30"/>
  <c r="U93" i="30"/>
  <c r="T93" i="30"/>
  <c r="V92" i="30"/>
  <c r="U92" i="30"/>
  <c r="T92" i="30"/>
  <c r="T91" i="30"/>
  <c r="V89" i="30"/>
  <c r="U89" i="30"/>
  <c r="T89" i="30"/>
  <c r="V88" i="30"/>
  <c r="U88" i="30"/>
  <c r="T88" i="30"/>
  <c r="T87" i="30"/>
  <c r="V85" i="30"/>
  <c r="U85" i="30"/>
  <c r="T85" i="30"/>
  <c r="V84" i="30"/>
  <c r="U84" i="30"/>
  <c r="T84" i="30"/>
  <c r="T83" i="30"/>
  <c r="R83" i="30"/>
  <c r="V82" i="30"/>
  <c r="U82" i="30"/>
  <c r="T82" i="30"/>
  <c r="V81" i="30"/>
  <c r="U81" i="30"/>
  <c r="T81" i="30"/>
  <c r="V80" i="30"/>
  <c r="U80" i="30"/>
  <c r="T80" i="30"/>
  <c r="T79" i="30"/>
  <c r="R79" i="30"/>
  <c r="V78" i="30"/>
  <c r="U78" i="30"/>
  <c r="T78" i="30"/>
  <c r="V77" i="30"/>
  <c r="U77" i="30"/>
  <c r="T77" i="30"/>
  <c r="V76" i="30"/>
  <c r="U76" i="30"/>
  <c r="T76" i="30"/>
  <c r="T75" i="30"/>
  <c r="R75" i="30"/>
  <c r="V73" i="30"/>
  <c r="U73" i="30"/>
  <c r="T73" i="30"/>
  <c r="V72" i="30"/>
  <c r="U72" i="30"/>
  <c r="T72" i="30"/>
  <c r="T71" i="30"/>
  <c r="R71" i="30"/>
  <c r="V70" i="30"/>
  <c r="U70" i="30"/>
  <c r="T70" i="30"/>
  <c r="V69" i="30"/>
  <c r="U69" i="30"/>
  <c r="T69" i="30"/>
  <c r="V68" i="30"/>
  <c r="U68" i="30"/>
  <c r="T68" i="30"/>
  <c r="T67" i="30"/>
  <c r="R67" i="30"/>
  <c r="U66" i="30"/>
  <c r="T66" i="30"/>
  <c r="V65" i="30"/>
  <c r="U65" i="30"/>
  <c r="T65" i="30"/>
  <c r="V64" i="30"/>
  <c r="U64" i="30"/>
  <c r="T64" i="30"/>
  <c r="T63" i="30"/>
  <c r="R63" i="30"/>
  <c r="V62" i="30"/>
  <c r="U62" i="30"/>
  <c r="T62" i="30"/>
  <c r="V61" i="30"/>
  <c r="U61" i="30"/>
  <c r="T61" i="30"/>
  <c r="V60" i="30"/>
  <c r="U60" i="30"/>
  <c r="T60" i="30"/>
  <c r="T59" i="30"/>
  <c r="R59" i="30"/>
  <c r="V57" i="30"/>
  <c r="U57" i="30"/>
  <c r="T57" i="30"/>
  <c r="V56" i="30"/>
  <c r="U56" i="30"/>
  <c r="T56" i="30"/>
  <c r="T55" i="30"/>
  <c r="R55" i="30"/>
  <c r="U53" i="30"/>
  <c r="T53" i="30"/>
  <c r="V52" i="30"/>
  <c r="U52" i="30"/>
  <c r="T52" i="30"/>
  <c r="T51" i="30"/>
  <c r="R51" i="30"/>
  <c r="V50" i="30"/>
  <c r="U50" i="30"/>
  <c r="T50" i="30"/>
  <c r="V49" i="30"/>
  <c r="U49" i="30"/>
  <c r="T49" i="30"/>
  <c r="V48" i="30"/>
  <c r="U48" i="30"/>
  <c r="T48" i="30"/>
  <c r="T47" i="30"/>
  <c r="R47" i="30"/>
  <c r="V46" i="30"/>
  <c r="U46" i="30"/>
  <c r="T46" i="30"/>
  <c r="V45" i="30"/>
  <c r="U45" i="30"/>
  <c r="T45" i="30"/>
  <c r="V44" i="30"/>
  <c r="U44" i="30"/>
  <c r="T44" i="30"/>
  <c r="T43" i="30"/>
  <c r="R43" i="30"/>
  <c r="U42" i="30"/>
  <c r="T42" i="30"/>
  <c r="V41" i="30"/>
  <c r="U41" i="30"/>
  <c r="T41" i="30"/>
  <c r="V40" i="30"/>
  <c r="U40" i="30"/>
  <c r="T40" i="30"/>
  <c r="T39" i="30"/>
  <c r="R39" i="30"/>
  <c r="V38" i="30"/>
  <c r="U38" i="30"/>
  <c r="T38" i="30"/>
  <c r="V37" i="30"/>
  <c r="U37" i="30"/>
  <c r="T37" i="30"/>
  <c r="V36" i="30"/>
  <c r="U36" i="30"/>
  <c r="T36" i="30"/>
  <c r="T35" i="30"/>
  <c r="R35" i="30"/>
  <c r="U32" i="30"/>
  <c r="T32" i="30"/>
  <c r="T31" i="30"/>
  <c r="R31" i="30"/>
  <c r="U28" i="30"/>
  <c r="T28" i="30"/>
  <c r="T27" i="30"/>
  <c r="R27" i="30"/>
  <c r="U25" i="30"/>
  <c r="T25" i="30"/>
  <c r="V24" i="30"/>
  <c r="U24" i="30"/>
  <c r="T24" i="30"/>
  <c r="T23" i="30"/>
  <c r="R23" i="30"/>
  <c r="V22" i="30"/>
  <c r="U22" i="30"/>
  <c r="T22" i="30"/>
  <c r="V21" i="30"/>
  <c r="U21" i="30"/>
  <c r="T21" i="30"/>
  <c r="V20" i="30"/>
  <c r="U20" i="30"/>
  <c r="T20" i="30"/>
  <c r="T19" i="30"/>
  <c r="R19" i="30"/>
  <c r="U18" i="30"/>
  <c r="U17" i="30"/>
  <c r="T17" i="30"/>
  <c r="V16" i="30"/>
  <c r="U16" i="30"/>
  <c r="T16" i="30"/>
  <c r="T15" i="30"/>
  <c r="R15" i="30"/>
  <c r="V14" i="30"/>
  <c r="U14" i="30"/>
  <c r="T14" i="30"/>
  <c r="V13" i="30"/>
  <c r="U13" i="30"/>
  <c r="T13" i="30"/>
  <c r="V12" i="30"/>
  <c r="U12" i="30"/>
  <c r="T12" i="30"/>
  <c r="T11" i="30"/>
  <c r="T10" i="30"/>
  <c r="V9" i="30"/>
  <c r="U9" i="30"/>
  <c r="T9" i="30"/>
  <c r="V8" i="30"/>
  <c r="U8" i="30"/>
  <c r="T8" i="30"/>
  <c r="V7" i="30"/>
  <c r="U7" i="30"/>
  <c r="T7" i="30"/>
  <c r="T6" i="30"/>
  <c r="R6" i="30"/>
  <c r="U4" i="30"/>
  <c r="T4" i="30"/>
  <c r="V3" i="30"/>
  <c r="U3" i="30"/>
  <c r="T3" i="30"/>
  <c r="AG22" i="5"/>
  <c r="AG4" i="5"/>
  <c r="AB27" i="6"/>
  <c r="AB26" i="6"/>
  <c r="AB25" i="6"/>
  <c r="AB24" i="6"/>
  <c r="AB23" i="6"/>
  <c r="AB22" i="6"/>
  <c r="AB21" i="6"/>
  <c r="AB20" i="6"/>
  <c r="AE27" i="25"/>
  <c r="Z25" i="25" l="1"/>
  <c r="R1" i="5"/>
  <c r="L1" i="6"/>
  <c r="AE7" i="25"/>
  <c r="X41" i="25" l="1"/>
  <c r="AB17" i="6" l="1"/>
  <c r="AB18" i="6"/>
  <c r="AB19" i="6"/>
  <c r="AD22" i="6"/>
  <c r="AD23" i="6"/>
  <c r="AD24" i="6"/>
  <c r="AD25" i="6"/>
  <c r="AD26" i="6"/>
  <c r="AD27" i="6"/>
  <c r="AB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C17" authorId="0" shapeId="0" xr:uid="{00000000-0006-0000-0000-000002000000}">
      <text>
        <r>
          <rPr>
            <sz val="9"/>
            <color indexed="81"/>
            <rFont val="MS P ゴシック"/>
            <family val="3"/>
            <charset val="128"/>
          </rPr>
          <t>セル右側のプルダウンボタンから
「新規」又は「継続」を選択してください。</t>
        </r>
      </text>
    </comment>
    <comment ref="H20" authorId="0" shapeId="0" xr:uid="{00000000-0006-0000-0000-000004000000}">
      <text>
        <r>
          <rPr>
            <sz val="9"/>
            <color indexed="81"/>
            <rFont val="MS P ゴシック"/>
            <family val="3"/>
            <charset val="128"/>
          </rPr>
          <t xml:space="preserve">ひらがなで入力してください。
</t>
        </r>
        <r>
          <rPr>
            <b/>
            <sz val="9"/>
            <color indexed="81"/>
            <rFont val="MS P ゴシック"/>
            <family val="3"/>
            <charset val="128"/>
          </rPr>
          <t>法人種別（株式会社等）のふりがなは不要です。</t>
        </r>
        <r>
          <rPr>
            <sz val="9"/>
            <color indexed="81"/>
            <rFont val="MS P ゴシック"/>
            <family val="3"/>
            <charset val="128"/>
          </rPr>
          <t xml:space="preserve">
【良い例】にいがたしょうじ
【悪い例】かぶしきがいしゃ にいがたしょうじ</t>
        </r>
      </text>
    </comment>
    <comment ref="H21" authorId="0" shapeId="0" xr:uid="{00000000-0006-0000-0000-000005000000}">
      <text>
        <r>
          <rPr>
            <sz val="9"/>
            <color indexed="81"/>
            <rFont val="MS P ゴシック"/>
            <family val="3"/>
            <charset val="128"/>
          </rPr>
          <t xml:space="preserve">すべて全角で入力してください。
</t>
        </r>
        <r>
          <rPr>
            <b/>
            <sz val="9"/>
            <color indexed="81"/>
            <rFont val="MS P ゴシック"/>
            <family val="3"/>
            <charset val="128"/>
          </rPr>
          <t>法人種別は略号を使用してください。［（株）（有）など］</t>
        </r>
        <r>
          <rPr>
            <sz val="9"/>
            <color indexed="81"/>
            <rFont val="MS P ゴシック"/>
            <family val="3"/>
            <charset val="128"/>
          </rPr>
          <t xml:space="preserve">
※カッコも含め全て全角
【良い例】（株）新潟商事
【悪い例】株式会社新潟商事、㈱新潟商事</t>
        </r>
      </text>
    </comment>
    <comment ref="J22" authorId="0" shapeId="0" xr:uid="{00000000-0006-0000-0000-000006000000}">
      <text>
        <r>
          <rPr>
            <sz val="9"/>
            <color indexed="81"/>
            <rFont val="MS P ゴシック"/>
            <family val="3"/>
            <charset val="128"/>
          </rPr>
          <t>個人事業主の場合は、空欄としてください。</t>
        </r>
      </text>
    </comment>
    <comment ref="R22" authorId="0" shapeId="0" xr:uid="{00000000-0006-0000-0000-000007000000}">
      <text>
        <r>
          <rPr>
            <sz val="9"/>
            <color indexed="81"/>
            <rFont val="MS P ゴシック"/>
            <family val="3"/>
            <charset val="128"/>
          </rPr>
          <t>氏と名の間にスペースを入力してください。</t>
        </r>
      </text>
    </comment>
    <comment ref="H23" authorId="0" shapeId="0" xr:uid="{00000000-0006-0000-0000-000008000000}">
      <text>
        <r>
          <rPr>
            <sz val="9"/>
            <color indexed="81"/>
            <rFont val="MS P ゴシック"/>
            <family val="3"/>
            <charset val="128"/>
          </rPr>
          <t>個人事業主の場合は、空欄としてください。</t>
        </r>
      </text>
    </comment>
    <comment ref="F25" authorId="0" shapeId="0" xr:uid="{00000000-0006-0000-0000-000009000000}">
      <text>
        <r>
          <rPr>
            <sz val="9"/>
            <color indexed="81"/>
            <rFont val="MS P ゴシック"/>
            <family val="3"/>
            <charset val="128"/>
          </rPr>
          <t>半角数字で入力してください。
ハイフンで区切ってください。</t>
        </r>
      </text>
    </comment>
    <comment ref="T25" authorId="0" shapeId="0" xr:uid="{00000000-0006-0000-0000-00000A000000}">
      <text>
        <r>
          <rPr>
            <sz val="9"/>
            <color indexed="81"/>
            <rFont val="MS P ゴシック"/>
            <family val="3"/>
            <charset val="128"/>
          </rPr>
          <t>セル右側のプルダウンボタンから、本店が所在する市町村を選択してください。
県外本店の場合は、「県外」を選択してください。</t>
        </r>
      </text>
    </comment>
    <comment ref="F27" authorId="0" shapeId="0" xr:uid="{CEDBEE02-5FA0-4758-8A28-3D4A04B59D02}">
      <text>
        <r>
          <rPr>
            <sz val="9"/>
            <color indexed="81"/>
            <rFont val="MS P ゴシック"/>
            <family val="3"/>
            <charset val="128"/>
          </rPr>
          <t>都道府県名を入力してください。</t>
        </r>
      </text>
    </comment>
    <comment ref="J27" authorId="0" shapeId="0" xr:uid="{00000000-0006-0000-0000-00000C000000}">
      <text>
        <r>
          <rPr>
            <sz val="9"/>
            <color indexed="81"/>
            <rFont val="MS P ゴシック"/>
            <family val="3"/>
            <charset val="128"/>
          </rPr>
          <t xml:space="preserve">市区町村以下の住所を入力してください。
すべて全角で入力してください。
</t>
        </r>
        <r>
          <rPr>
            <b/>
            <sz val="9"/>
            <color indexed="81"/>
            <rFont val="MS P ゴシック"/>
            <family val="3"/>
            <charset val="128"/>
          </rPr>
          <t>番地等はハイフンで区切り、「丁目、番、号」は
使用しないでください。</t>
        </r>
        <r>
          <rPr>
            <sz val="9"/>
            <color indexed="81"/>
            <rFont val="MS P ゴシック"/>
            <family val="3"/>
            <charset val="128"/>
          </rPr>
          <t xml:space="preserve">
【例】３丁目２番１号 → ３－２－１</t>
        </r>
      </text>
    </comment>
    <comment ref="J28" authorId="0" shapeId="0" xr:uid="{00000000-0006-0000-0000-00000D000000}">
      <text>
        <r>
          <rPr>
            <sz val="9"/>
            <color indexed="81"/>
            <rFont val="MS P ゴシック"/>
            <family val="3"/>
            <charset val="128"/>
          </rPr>
          <t>「住所」欄に記載した住所が、
以下と異なる場合は、その理由を記載してください。
法人の場合：登記事項証明書
個人の場合：所得税申告書類</t>
        </r>
      </text>
    </comment>
    <comment ref="F29" authorId="0" shapeId="0" xr:uid="{00000000-0006-0000-0000-00000E000000}">
      <text>
        <r>
          <rPr>
            <sz val="9"/>
            <color indexed="81"/>
            <rFont val="MS P ゴシック"/>
            <family val="3"/>
            <charset val="128"/>
          </rPr>
          <t>市外局番から入力してください。
ハイフンで区切ってください。</t>
        </r>
      </text>
    </comment>
    <comment ref="S29" authorId="0" shapeId="0" xr:uid="{00000000-0006-0000-0000-00000F000000}">
      <text>
        <r>
          <rPr>
            <sz val="9"/>
            <color indexed="81"/>
            <rFont val="MS P ゴシック"/>
            <family val="3"/>
            <charset val="128"/>
          </rPr>
          <t>市外局番から入力してください。
ハイフンで区切ってください。</t>
        </r>
      </text>
    </comment>
    <comment ref="L30" authorId="0" shapeId="0" xr:uid="{05F7CCA2-19FD-4166-A31C-2A77815F227A}">
      <text>
        <r>
          <rPr>
            <sz val="9"/>
            <color indexed="81"/>
            <rFont val="MS P ゴシック"/>
            <family val="3"/>
            <charset val="128"/>
          </rPr>
          <t>すべて全角で入力してください。
部署名と氏名の間にスペースを入力してください。
【例】総務部　新潟太郎</t>
        </r>
      </text>
    </comment>
    <comment ref="L31" authorId="0" shapeId="0" xr:uid="{00000000-0006-0000-0000-000011000000}">
      <text>
        <r>
          <rPr>
            <sz val="9"/>
            <color indexed="81"/>
            <rFont val="MS P ゴシック"/>
            <family val="3"/>
            <charset val="128"/>
          </rPr>
          <t>市外局番から入力してください。
ハイフンで区切ってください。</t>
        </r>
      </text>
    </comment>
    <comment ref="K37" authorId="0" shapeId="0" xr:uid="{F60081EB-E987-4E55-B836-EDBDDEE9F715}">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T37" authorId="0" shapeId="0" xr:uid="{D8A6E793-190C-4A6D-AE30-12FE0D23EFEE}">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K38" authorId="0" shapeId="0" xr:uid="{5151DB28-B5BB-4411-8B59-D7C62DD6E8FE}">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T38" authorId="0" shapeId="0" xr:uid="{93389B92-67EA-49ED-9F29-2729A51BD383}">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K39" authorId="0" shapeId="0" xr:uid="{446885DA-169C-4677-8CC0-0301924287D1}">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T39" authorId="0" shapeId="0" xr:uid="{51324D23-5F83-49CF-80BE-D0DBCFD9974D}">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K40" authorId="0" shapeId="0" xr:uid="{437898EC-CCA0-4943-84A9-FADF2DF3A400}">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T40" authorId="0" shapeId="0" xr:uid="{83BF74C4-948B-4B53-9BBF-DCF2AD9DC6AF}">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K41" authorId="0" shapeId="0" xr:uid="{5B50B9BE-DFBE-4D76-98D3-6B0DB485BA50}">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M3" authorId="0" shapeId="0" xr:uid="{887B0508-A410-407D-A164-C7D79641F97F}">
      <text>
        <r>
          <rPr>
            <sz val="9"/>
            <color indexed="81"/>
            <rFont val="MS P ゴシック"/>
            <family val="3"/>
            <charset val="128"/>
          </rPr>
          <t>申請要領を参考に、セル右側のプルダウンボタンから業種を選択してください。</t>
        </r>
      </text>
    </comment>
    <comment ref="B9" authorId="0" shapeId="0" xr:uid="{4D95B018-8542-44CF-A7D3-187F3ECFFB12}">
      <text>
        <r>
          <rPr>
            <sz val="9"/>
            <color indexed="81"/>
            <rFont val="MS P ゴシック"/>
            <family val="3"/>
            <charset val="128"/>
          </rPr>
          <t>セル右側のプルダウンボタンから「元号」を選択してください。</t>
        </r>
      </text>
    </comment>
    <comment ref="I16" authorId="0" shapeId="0" xr:uid="{515E883F-5BAA-4A57-812E-7722AEEF407B}">
      <text>
        <r>
          <rPr>
            <sz val="9"/>
            <color indexed="81"/>
            <rFont val="MS P ゴシック"/>
            <family val="3"/>
            <charset val="128"/>
          </rPr>
          <t>セル右側のプルダウンボタンから「元号」を選択してください。</t>
        </r>
      </text>
    </comment>
    <comment ref="I17" authorId="0" shapeId="0" xr:uid="{4F90049A-7CC6-493A-9C21-B2C20940DBB8}">
      <text>
        <r>
          <rPr>
            <sz val="9"/>
            <color indexed="81"/>
            <rFont val="MS P ゴシック"/>
            <family val="3"/>
            <charset val="128"/>
          </rPr>
          <t>セル右側のプルダウンボタンから「元号」を選択してください。</t>
        </r>
      </text>
    </comment>
    <comment ref="I18" authorId="0" shapeId="0" xr:uid="{82A60C45-17DE-43D0-BA08-3F9B8D81400F}">
      <text>
        <r>
          <rPr>
            <sz val="9"/>
            <color indexed="81"/>
            <rFont val="MS P ゴシック"/>
            <family val="3"/>
            <charset val="128"/>
          </rPr>
          <t>セル右側のプルダウンボタンから「元号」を選択してください。</t>
        </r>
      </text>
    </comment>
    <comment ref="I19" authorId="0" shapeId="0" xr:uid="{270D2D54-E0BB-4C55-B9C1-032A1D6F2E11}">
      <text>
        <r>
          <rPr>
            <sz val="9"/>
            <color indexed="81"/>
            <rFont val="MS P ゴシック"/>
            <family val="3"/>
            <charset val="128"/>
          </rPr>
          <t>セル右側のプルダウンボタンから「元号」を選択してください。</t>
        </r>
      </text>
    </comment>
    <comment ref="I20" authorId="0" shapeId="0" xr:uid="{756F6583-907A-4FA5-AEFF-3414905D5C2F}">
      <text>
        <r>
          <rPr>
            <sz val="9"/>
            <color indexed="81"/>
            <rFont val="MS P ゴシック"/>
            <family val="3"/>
            <charset val="128"/>
          </rPr>
          <t>セル右側のプルダウンボタンから「元号」を選択してください。</t>
        </r>
      </text>
    </comment>
    <comment ref="I21" authorId="0" shapeId="0" xr:uid="{90B99EC8-9BCE-45CF-B70C-436A2D38BDDD}">
      <text>
        <r>
          <rPr>
            <sz val="9"/>
            <color indexed="81"/>
            <rFont val="MS P ゴシック"/>
            <family val="3"/>
            <charset val="128"/>
          </rPr>
          <t>セル右側のプルダウンボタンから「元号」を選択してください。</t>
        </r>
      </text>
    </comment>
    <comment ref="I22" authorId="0" shapeId="0" xr:uid="{590DB756-DDC3-4DAD-9BEF-34AAFD031EBB}">
      <text>
        <r>
          <rPr>
            <sz val="9"/>
            <color indexed="81"/>
            <rFont val="MS P ゴシック"/>
            <family val="3"/>
            <charset val="128"/>
          </rPr>
          <t>セル右側のプルダウンボタンから「元号」を選択してください。</t>
        </r>
      </text>
    </comment>
    <comment ref="I23" authorId="0" shapeId="0" xr:uid="{78854EC6-21C7-489F-AD05-9949A2EB5032}">
      <text>
        <r>
          <rPr>
            <sz val="9"/>
            <color indexed="81"/>
            <rFont val="MS P ゴシック"/>
            <family val="3"/>
            <charset val="128"/>
          </rPr>
          <t>セル右側のプルダウンボタンから「元号」を選択してください。</t>
        </r>
      </text>
    </comment>
    <comment ref="I24" authorId="0" shapeId="0" xr:uid="{382F4809-39A5-4555-A3E2-B3EB2B7CA1CC}">
      <text>
        <r>
          <rPr>
            <sz val="9"/>
            <color indexed="81"/>
            <rFont val="MS P ゴシック"/>
            <family val="3"/>
            <charset val="128"/>
          </rPr>
          <t>セル右側のプルダウンボタンから「元号」を選択してください。</t>
        </r>
      </text>
    </comment>
    <comment ref="I25" authorId="0" shapeId="0" xr:uid="{929F0E78-A64B-4092-8ADB-DE5E0BEEABCB}">
      <text>
        <r>
          <rPr>
            <sz val="9"/>
            <color indexed="81"/>
            <rFont val="MS P ゴシック"/>
            <family val="3"/>
            <charset val="128"/>
          </rPr>
          <t>セル右側のプルダウンボタンから「元号」を選択してください。</t>
        </r>
      </text>
    </comment>
    <comment ref="I26" authorId="0" shapeId="0" xr:uid="{040EA66F-FFE5-46F2-AB68-E4FE9D946DA0}">
      <text>
        <r>
          <rPr>
            <sz val="9"/>
            <color indexed="81"/>
            <rFont val="MS P ゴシック"/>
            <family val="3"/>
            <charset val="128"/>
          </rPr>
          <t>セル右側のプルダウンボタンから「元号」を選択してください。</t>
        </r>
      </text>
    </comment>
    <comment ref="I27" authorId="0" shapeId="0" xr:uid="{C6EF18A4-3623-4574-AC5E-ED163D6A5296}">
      <text>
        <r>
          <rPr>
            <sz val="9"/>
            <color indexed="81"/>
            <rFont val="MS P ゴシック"/>
            <family val="3"/>
            <charset val="128"/>
          </rPr>
          <t>セル右側のプルダウンボタンから「元号」を選択してください。</t>
        </r>
      </text>
    </comment>
    <comment ref="J36" authorId="0" shapeId="0" xr:uid="{7C21D53A-0BAB-4F57-A25E-A3A6745A6AE8}">
      <text>
        <r>
          <rPr>
            <b/>
            <sz val="9"/>
            <color indexed="81"/>
            <rFont val="MS P ゴシック"/>
            <family val="3"/>
            <charset val="128"/>
          </rPr>
          <t>和暦で入力してください。</t>
        </r>
      </text>
    </comment>
    <comment ref="S36" authorId="0" shapeId="0" xr:uid="{1F6057DB-6309-447C-A0B4-7007503EDF46}">
      <text>
        <r>
          <rPr>
            <b/>
            <sz val="9"/>
            <color indexed="81"/>
            <rFont val="MS P ゴシック"/>
            <family val="3"/>
            <charset val="128"/>
          </rPr>
          <t>和暦で入力してください。</t>
        </r>
      </text>
    </comment>
    <comment ref="I47" authorId="0" shapeId="0" xr:uid="{00000000-0006-0000-0200-00000E000000}">
      <text>
        <r>
          <rPr>
            <sz val="9"/>
            <color indexed="81"/>
            <rFont val="MS P ゴシック"/>
            <family val="3"/>
            <charset val="128"/>
          </rPr>
          <t>セル右側のプルダウンボタンから、
該当するものを選択してください。</t>
        </r>
      </text>
    </comment>
    <comment ref="W47" authorId="0" shapeId="0" xr:uid="{50108617-1C3E-46F1-BD53-3C0350AB1FE5}">
      <text>
        <r>
          <rPr>
            <sz val="9"/>
            <color indexed="81"/>
            <rFont val="MS P ゴシック"/>
            <family val="3"/>
            <charset val="128"/>
          </rPr>
          <t>セル右側のプルダウンボタンから、
該当するものを選択してください。</t>
        </r>
      </text>
    </comment>
    <comment ref="I48" authorId="0" shapeId="0" xr:uid="{B4B7FD46-9630-41AE-8DC8-7F8DE92FC1B1}">
      <text>
        <r>
          <rPr>
            <sz val="9"/>
            <color indexed="81"/>
            <rFont val="MS P ゴシック"/>
            <family val="3"/>
            <charset val="128"/>
          </rPr>
          <t>セル右側のプルダウンボタンから、
該当するものを選択してください。</t>
        </r>
      </text>
    </comment>
    <comment ref="W48" authorId="0" shapeId="0" xr:uid="{B64556CE-217E-4F67-A759-F41FBFB97E5C}">
      <text>
        <r>
          <rPr>
            <sz val="9"/>
            <color indexed="81"/>
            <rFont val="MS P ゴシック"/>
            <family val="3"/>
            <charset val="128"/>
          </rPr>
          <t>セル右側のプルダウンボタンから、
該当するものを選択してください。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J4" authorId="0" shapeId="0" xr:uid="{00000000-0006-0000-0300-000001000000}">
      <text>
        <r>
          <rPr>
            <sz val="9"/>
            <color indexed="81"/>
            <rFont val="MS P ゴシック"/>
            <family val="3"/>
            <charset val="128"/>
          </rPr>
          <t>セル右側のプルダウンボタンから
該当するものを選択してください。
「代理人を置く」を選択した場合は、以下の欄に入力してください。</t>
        </r>
      </text>
    </comment>
    <comment ref="J5" authorId="0" shapeId="0" xr:uid="{00000000-0006-0000-0300-000002000000}">
      <text>
        <r>
          <rPr>
            <sz val="9"/>
            <color indexed="81"/>
            <rFont val="MS P ゴシック"/>
            <family val="3"/>
            <charset val="128"/>
          </rPr>
          <t>半角数字で入力してください。
ハイフンで区切ってください。</t>
        </r>
      </text>
    </comment>
    <comment ref="G7" authorId="0" shapeId="0" xr:uid="{01EC89C3-43C5-40E2-9B8F-FC34DC5D55AA}">
      <text>
        <r>
          <rPr>
            <sz val="9"/>
            <color indexed="81"/>
            <rFont val="MS P ゴシック"/>
            <family val="3"/>
            <charset val="128"/>
          </rPr>
          <t>都道府県名を入力してください。</t>
        </r>
      </text>
    </comment>
    <comment ref="K7" authorId="0" shapeId="0" xr:uid="{00000000-0006-0000-0300-000003000000}">
      <text>
        <r>
          <rPr>
            <sz val="9"/>
            <color indexed="81"/>
            <rFont val="MS P ゴシック"/>
            <family val="3"/>
            <charset val="128"/>
          </rPr>
          <t xml:space="preserve">市区町村以下の住所を入力してください。
すべて全角で入力してください。
</t>
        </r>
        <r>
          <rPr>
            <b/>
            <sz val="9"/>
            <color indexed="81"/>
            <rFont val="MS P ゴシック"/>
            <family val="3"/>
            <charset val="128"/>
          </rPr>
          <t>番地等は「－」（ハイフン）で区切り、「丁目、番、号」は使用しないでください。</t>
        </r>
        <r>
          <rPr>
            <sz val="9"/>
            <color indexed="81"/>
            <rFont val="MS P ゴシック"/>
            <family val="3"/>
            <charset val="128"/>
          </rPr>
          <t xml:space="preserve">
【例】３丁目２番１号 → ３－２－１</t>
        </r>
      </text>
    </comment>
    <comment ref="G8" authorId="0" shapeId="0" xr:uid="{00000000-0006-0000-0300-000004000000}">
      <text>
        <r>
          <rPr>
            <sz val="9"/>
            <color indexed="81"/>
            <rFont val="MS P ゴシック"/>
            <family val="3"/>
            <charset val="128"/>
          </rPr>
          <t>市外局番から入力してください。
ハイフンで区切ってください。</t>
        </r>
      </text>
    </comment>
    <comment ref="U8" authorId="0" shapeId="0" xr:uid="{00000000-0006-0000-0300-000005000000}">
      <text>
        <r>
          <rPr>
            <sz val="9"/>
            <color indexed="81"/>
            <rFont val="MS P ゴシック"/>
            <family val="3"/>
            <charset val="128"/>
          </rPr>
          <t>市外局番から入力してください。
ハイフンで区切ってください。</t>
        </r>
      </text>
    </comment>
    <comment ref="G9" authorId="0" shapeId="0" xr:uid="{00000000-0006-0000-0300-000006000000}">
      <text>
        <r>
          <rPr>
            <b/>
            <sz val="9"/>
            <color indexed="81"/>
            <rFont val="MS P ゴシック"/>
            <family val="3"/>
            <charset val="128"/>
          </rPr>
          <t>「商号又は名称」の後にスペースを入力し、「支店等名称」を入力してください。</t>
        </r>
        <r>
          <rPr>
            <sz val="9"/>
            <color indexed="81"/>
            <rFont val="MS P ゴシック"/>
            <family val="3"/>
            <charset val="128"/>
          </rPr>
          <t xml:space="preserve">
すべて全角で入力してください。
【例】（株）新潟商事　長岡支店</t>
        </r>
      </text>
    </comment>
    <comment ref="E10" authorId="0" shapeId="0" xr:uid="{00000000-0006-0000-0300-000007000000}">
      <text>
        <r>
          <rPr>
            <sz val="9"/>
            <color indexed="81"/>
            <rFont val="MS P ゴシック"/>
            <family val="3"/>
            <charset val="128"/>
          </rPr>
          <t>全角で入力してください。</t>
        </r>
      </text>
    </comment>
    <comment ref="U10" authorId="0" shapeId="0" xr:uid="{5127F911-29CF-49CF-A004-5DF2040715A2}">
      <text>
        <r>
          <rPr>
            <sz val="9"/>
            <color indexed="81"/>
            <rFont val="MS P ゴシック"/>
            <family val="3"/>
            <charset val="128"/>
          </rPr>
          <t>全角で入力してください。
氏と名の間にスペースを入力してください。</t>
        </r>
      </text>
    </comment>
    <comment ref="J22" authorId="0" shapeId="0" xr:uid="{00000000-0006-0000-0300-000008000000}">
      <text>
        <r>
          <rPr>
            <sz val="9"/>
            <color indexed="81"/>
            <rFont val="MS P ゴシック"/>
            <family val="3"/>
            <charset val="128"/>
          </rPr>
          <t>セル右側のプルダウンボタンから
該当するものを選択してください。
（先に上記６を選択してください。）
※上記６で「代理人を置く」を選択した場合は、必ず「登録しない」となります。</t>
        </r>
      </text>
    </comment>
    <comment ref="I31" authorId="0" shapeId="0" xr:uid="{00000000-0006-0000-0300-000009000000}">
      <text>
        <r>
          <rPr>
            <sz val="9"/>
            <color indexed="81"/>
            <rFont val="MS P ゴシック"/>
            <family val="3"/>
            <charset val="128"/>
          </rPr>
          <t>セル右側のプルダウンボタンから
該当するものを選択してください。
「その他住所」を選択した場合のみ、
以下の欄も入力してください。</t>
        </r>
      </text>
    </comment>
    <comment ref="K33" authorId="0" shapeId="0" xr:uid="{00000000-0006-0000-0300-00000A000000}">
      <text>
        <r>
          <rPr>
            <sz val="9"/>
            <color indexed="81"/>
            <rFont val="MS P ゴシック"/>
            <family val="3"/>
            <charset val="128"/>
          </rPr>
          <t>半角数字で入力してください。
ハイフンで区切ってください。</t>
        </r>
      </text>
    </comment>
    <comment ref="G35" authorId="0" shapeId="0" xr:uid="{16BF3B26-99DA-44C4-BA13-8ED3630C83F7}">
      <text>
        <r>
          <rPr>
            <sz val="9"/>
            <color indexed="81"/>
            <rFont val="MS P ゴシック"/>
            <family val="3"/>
            <charset val="128"/>
          </rPr>
          <t>都道府県名を入力してください。</t>
        </r>
      </text>
    </comment>
    <comment ref="K35" authorId="0" shapeId="0" xr:uid="{00000000-0006-0000-0300-00000B000000}">
      <text>
        <r>
          <rPr>
            <sz val="9"/>
            <color indexed="81"/>
            <rFont val="MS P ゴシック"/>
            <family val="3"/>
            <charset val="128"/>
          </rPr>
          <t>市区町村以下の住所を入力してください。
すべて全角で入力してください。
番地等は「－」（ハイフン）で区切り、「丁目、番、号」は使用しないでください。
【例】３丁目２番１号 → ３－２－１</t>
        </r>
      </text>
    </comment>
    <comment ref="G36" authorId="0" shapeId="0" xr:uid="{00000000-0006-0000-0300-00000C000000}">
      <text>
        <r>
          <rPr>
            <sz val="9"/>
            <color indexed="81"/>
            <rFont val="MS P ゴシック"/>
            <family val="3"/>
            <charset val="128"/>
          </rPr>
          <t>市外局番から入力してください。
ハイフンで区切ってください。</t>
        </r>
      </text>
    </comment>
    <comment ref="U36" authorId="0" shapeId="0" xr:uid="{00000000-0006-0000-0300-00000D000000}">
      <text>
        <r>
          <rPr>
            <sz val="9"/>
            <color indexed="81"/>
            <rFont val="MS P ゴシック"/>
            <family val="3"/>
            <charset val="128"/>
          </rPr>
          <t>市外局番から入力してください。
ハイフンで区切ってください。</t>
        </r>
      </text>
    </comment>
    <comment ref="G37" authorId="0" shapeId="0" xr:uid="{00000000-0006-0000-0300-00000E000000}">
      <text>
        <r>
          <rPr>
            <sz val="9"/>
            <color indexed="81"/>
            <rFont val="MS P ゴシック"/>
            <family val="3"/>
            <charset val="128"/>
          </rPr>
          <t>「商号又は名称」と送付先の支店名（部署名）等を続けて入力してください。
すべて全角で入力してください。
【例】（株）新潟商事　販売部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5E93B23F-804A-42DF-A222-B4558C5D15B7}">
      <text>
        <r>
          <rPr>
            <sz val="9"/>
            <color indexed="81"/>
            <rFont val="ＭＳ Ｐゴシック"/>
            <family val="3"/>
            <charset val="128"/>
          </rPr>
          <t xml:space="preserve">セル右側のボタンから「加入している」「加入していない」を選択してください。
選択した事項に自動的に○が付きます。
</t>
        </r>
      </text>
    </comment>
    <comment ref="B8" authorId="0" shapeId="0" xr:uid="{16EA6865-AFDB-420C-839E-ADB559149EE8}">
      <text>
        <r>
          <rPr>
            <sz val="9"/>
            <color indexed="81"/>
            <rFont val="ＭＳ Ｐゴシック"/>
            <family val="3"/>
            <charset val="128"/>
          </rPr>
          <t>セル右側のボタンから「加入している」「加入していない」を選択してください。
選択した事項に自動的に○が付きます。</t>
        </r>
      </text>
    </comment>
    <comment ref="B11" authorId="0" shapeId="0" xr:uid="{7C22886C-83A9-423F-858C-9672BF323808}">
      <text>
        <r>
          <rPr>
            <sz val="9"/>
            <color indexed="81"/>
            <rFont val="ＭＳ Ｐゴシック"/>
            <family val="3"/>
            <charset val="128"/>
          </rPr>
          <t xml:space="preserve">セルの右側のボタンから「遵守している」「遵守していない」を選択してください。
選択した事項に自動的に○が付きます。
</t>
        </r>
      </text>
    </comment>
    <comment ref="B13" authorId="0" shapeId="0" xr:uid="{8ABEA21C-9D54-488E-AEB9-28BB9484407E}">
      <text>
        <r>
          <rPr>
            <sz val="9"/>
            <color indexed="81"/>
            <rFont val="ＭＳ Ｐゴシック"/>
            <family val="3"/>
            <charset val="128"/>
          </rPr>
          <t xml:space="preserve">セル右側のボタンから「行っている」「行っていない」を選択してください。
選択した事項に自動的に○が付きます。
</t>
        </r>
      </text>
    </comment>
  </commentList>
</comments>
</file>

<file path=xl/sharedStrings.xml><?xml version="1.0" encoding="utf-8"?>
<sst xmlns="http://schemas.openxmlformats.org/spreadsheetml/2006/main" count="1651" uniqueCount="834">
  <si>
    <t>靴下</t>
    <rPh sb="0" eb="2">
      <t>クツシタ</t>
    </rPh>
    <phoneticPr fontId="2"/>
  </si>
  <si>
    <t>(耐刃）防護衣</t>
    <rPh sb="1" eb="2">
      <t>タイ</t>
    </rPh>
    <rPh sb="2" eb="3">
      <t>ハ</t>
    </rPh>
    <rPh sb="4" eb="6">
      <t>ボウゴ</t>
    </rPh>
    <rPh sb="6" eb="7">
      <t>ギヌ</t>
    </rPh>
    <phoneticPr fontId="2"/>
  </si>
  <si>
    <t>警備靴（革）</t>
    <rPh sb="0" eb="2">
      <t>ケイビ</t>
    </rPh>
    <rPh sb="2" eb="3">
      <t>クツ</t>
    </rPh>
    <rPh sb="4" eb="5">
      <t>カワ</t>
    </rPh>
    <phoneticPr fontId="2"/>
  </si>
  <si>
    <t>雨衣・防寒着</t>
    <rPh sb="0" eb="1">
      <t>アメ</t>
    </rPh>
    <rPh sb="1" eb="2">
      <t>ギヌ</t>
    </rPh>
    <rPh sb="3" eb="5">
      <t>ボウカン</t>
    </rPh>
    <rPh sb="5" eb="6">
      <t>キ</t>
    </rPh>
    <phoneticPr fontId="2"/>
  </si>
  <si>
    <t>注</t>
    <rPh sb="0" eb="1">
      <t>チュウ</t>
    </rPh>
    <phoneticPr fontId="2"/>
  </si>
  <si>
    <t>千円</t>
    <rPh sb="0" eb="2">
      <t>センエン</t>
    </rPh>
    <phoneticPr fontId="2"/>
  </si>
  <si>
    <t>資本金</t>
    <rPh sb="0" eb="3">
      <t>シホンキン</t>
    </rPh>
    <phoneticPr fontId="2"/>
  </si>
  <si>
    <t>～</t>
    <phoneticPr fontId="2"/>
  </si>
  <si>
    <t>認証等の区分</t>
    <rPh sb="0" eb="2">
      <t>ニンショウ</t>
    </rPh>
    <rPh sb="2" eb="3">
      <t>トウ</t>
    </rPh>
    <rPh sb="4" eb="6">
      <t>クブン</t>
    </rPh>
    <phoneticPr fontId="2"/>
  </si>
  <si>
    <t>代理人</t>
    <rPh sb="0" eb="3">
      <t>ダイリニン</t>
    </rPh>
    <phoneticPr fontId="2"/>
  </si>
  <si>
    <t>支店等名称</t>
    <rPh sb="0" eb="2">
      <t>シテン</t>
    </rPh>
    <rPh sb="2" eb="3">
      <t>トウ</t>
    </rPh>
    <rPh sb="3" eb="5">
      <t>メイショウ</t>
    </rPh>
    <phoneticPr fontId="2"/>
  </si>
  <si>
    <t>ファクシミリ番号</t>
    <rPh sb="6" eb="8">
      <t>バンゴウ</t>
    </rPh>
    <phoneticPr fontId="2"/>
  </si>
  <si>
    <t>代理人選定の有無</t>
    <rPh sb="0" eb="2">
      <t>ダイリ</t>
    </rPh>
    <rPh sb="2" eb="3">
      <t>ニン</t>
    </rPh>
    <rPh sb="3" eb="5">
      <t>センテイ</t>
    </rPh>
    <rPh sb="6" eb="8">
      <t>ウム</t>
    </rPh>
    <phoneticPr fontId="2"/>
  </si>
  <si>
    <t>住所</t>
    <rPh sb="0" eb="2">
      <t>ジュウショ</t>
    </rPh>
    <phoneticPr fontId="2"/>
  </si>
  <si>
    <t>ふりがな</t>
    <phoneticPr fontId="2"/>
  </si>
  <si>
    <t>種目名</t>
    <rPh sb="0" eb="2">
      <t>シュモク</t>
    </rPh>
    <rPh sb="2" eb="3">
      <t>メイ</t>
    </rPh>
    <phoneticPr fontId="2"/>
  </si>
  <si>
    <t>(</t>
    <phoneticPr fontId="2"/>
  </si>
  <si>
    <t>)</t>
    <phoneticPr fontId="2"/>
  </si>
  <si>
    <t>ロータリ除雪車</t>
    <rPh sb="4" eb="6">
      <t>ジョセツ</t>
    </rPh>
    <rPh sb="6" eb="7">
      <t>シャ</t>
    </rPh>
    <phoneticPr fontId="2"/>
  </si>
  <si>
    <t>上記に該当しないもの</t>
    <rPh sb="0" eb="2">
      <t>ジョウキ</t>
    </rPh>
    <rPh sb="3" eb="5">
      <t>ガイトウ</t>
    </rPh>
    <phoneticPr fontId="2"/>
  </si>
  <si>
    <t>噴霧機械</t>
    <rPh sb="0" eb="2">
      <t>フンム</t>
    </rPh>
    <rPh sb="2" eb="4">
      <t>キカイ</t>
    </rPh>
    <phoneticPr fontId="2"/>
  </si>
  <si>
    <t>畜産用機器</t>
    <rPh sb="0" eb="2">
      <t>チクサン</t>
    </rPh>
    <rPh sb="2" eb="3">
      <t>ヨウ</t>
    </rPh>
    <rPh sb="3" eb="5">
      <t>キキ</t>
    </rPh>
    <phoneticPr fontId="2"/>
  </si>
  <si>
    <t>取　扱　品　目（取扱品目にチェックマークを付して下さい。）</t>
    <rPh sb="0" eb="1">
      <t>トリ</t>
    </rPh>
    <rPh sb="2" eb="3">
      <t>アツカ</t>
    </rPh>
    <rPh sb="4" eb="5">
      <t>シナ</t>
    </rPh>
    <rPh sb="6" eb="7">
      <t>メ</t>
    </rPh>
    <rPh sb="8" eb="10">
      <t>トリアツカ</t>
    </rPh>
    <rPh sb="10" eb="12">
      <t>ヒンモク</t>
    </rPh>
    <rPh sb="21" eb="22">
      <t>フ</t>
    </rPh>
    <rPh sb="24" eb="25">
      <t>クダ</t>
    </rPh>
    <phoneticPr fontId="2"/>
  </si>
  <si>
    <t>その他和洋紙製品</t>
    <rPh sb="2" eb="3">
      <t>タ</t>
    </rPh>
    <rPh sb="3" eb="4">
      <t>ワ</t>
    </rPh>
    <rPh sb="4" eb="6">
      <t>ヨウシ</t>
    </rPh>
    <rPh sb="6" eb="8">
      <t>セイヒン</t>
    </rPh>
    <phoneticPr fontId="2"/>
  </si>
  <si>
    <t>養鶏用機器</t>
    <rPh sb="0" eb="3">
      <t>ヨウケイヨウ</t>
    </rPh>
    <rPh sb="3" eb="5">
      <t>キキ</t>
    </rPh>
    <phoneticPr fontId="2"/>
  </si>
  <si>
    <t>信号機用電球</t>
    <rPh sb="0" eb="2">
      <t>シンゴウ</t>
    </rPh>
    <rPh sb="2" eb="3">
      <t>キ</t>
    </rPh>
    <rPh sb="3" eb="4">
      <t>ヨウ</t>
    </rPh>
    <rPh sb="4" eb="6">
      <t>デンキュウ</t>
    </rPh>
    <phoneticPr fontId="2"/>
  </si>
  <si>
    <t>農業薬品・農業資機材</t>
    <rPh sb="0" eb="2">
      <t>ノウギョウ</t>
    </rPh>
    <rPh sb="2" eb="4">
      <t>ヤクヒン</t>
    </rPh>
    <rPh sb="5" eb="7">
      <t>ノウギョウ</t>
    </rPh>
    <rPh sb="7" eb="8">
      <t>シ</t>
    </rPh>
    <rPh sb="8" eb="10">
      <t>キザイ</t>
    </rPh>
    <phoneticPr fontId="2"/>
  </si>
  <si>
    <t>施設・機械用消耗資機材</t>
    <rPh sb="0" eb="2">
      <t>シセツ</t>
    </rPh>
    <rPh sb="3" eb="5">
      <t>キカイ</t>
    </rPh>
    <rPh sb="5" eb="6">
      <t>ヨウ</t>
    </rPh>
    <rPh sb="6" eb="8">
      <t>ショウモウ</t>
    </rPh>
    <rPh sb="8" eb="9">
      <t>シ</t>
    </rPh>
    <rPh sb="9" eb="11">
      <t>キザイ</t>
    </rPh>
    <phoneticPr fontId="2"/>
  </si>
  <si>
    <t>実験・分析用消耗資機材</t>
    <rPh sb="0" eb="2">
      <t>ジッケン</t>
    </rPh>
    <rPh sb="3" eb="5">
      <t>ブンセキ</t>
    </rPh>
    <rPh sb="5" eb="6">
      <t>ヨウ</t>
    </rPh>
    <rPh sb="6" eb="8">
      <t>ショウモウ</t>
    </rPh>
    <rPh sb="8" eb="11">
      <t>シキザイ</t>
    </rPh>
    <phoneticPr fontId="2"/>
  </si>
  <si>
    <t>個人情報保護を含む印刷</t>
    <rPh sb="0" eb="2">
      <t>コジン</t>
    </rPh>
    <rPh sb="2" eb="4">
      <t>ジョウホウ</t>
    </rPh>
    <rPh sb="4" eb="6">
      <t>ホゴ</t>
    </rPh>
    <rPh sb="7" eb="8">
      <t>フク</t>
    </rPh>
    <rPh sb="9" eb="11">
      <t>インサツ</t>
    </rPh>
    <phoneticPr fontId="2"/>
  </si>
  <si>
    <r>
      <t>"秘</t>
    </r>
    <r>
      <rPr>
        <sz val="11"/>
        <rFont val="ＭＳ Ｐゴシック"/>
        <family val="3"/>
        <charset val="128"/>
      </rPr>
      <t>"重要用紙印刷</t>
    </r>
    <rPh sb="1" eb="2">
      <t>ヒ</t>
    </rPh>
    <rPh sb="3" eb="5">
      <t>ジュウヨウ</t>
    </rPh>
    <rPh sb="5" eb="7">
      <t>ヨウシ</t>
    </rPh>
    <rPh sb="7" eb="9">
      <t>インサツ</t>
    </rPh>
    <phoneticPr fontId="2"/>
  </si>
  <si>
    <t>申請者名称等</t>
    <rPh sb="0" eb="3">
      <t>シンセイシャ</t>
    </rPh>
    <rPh sb="3" eb="5">
      <t>メイショウ</t>
    </rPh>
    <rPh sb="5" eb="6">
      <t>トウ</t>
    </rPh>
    <phoneticPr fontId="2"/>
  </si>
  <si>
    <t>申請区分</t>
    <rPh sb="0" eb="2">
      <t>シンセイ</t>
    </rPh>
    <rPh sb="2" eb="4">
      <t>クブン</t>
    </rPh>
    <phoneticPr fontId="2"/>
  </si>
  <si>
    <t>プライバシーマーク</t>
    <phoneticPr fontId="2"/>
  </si>
  <si>
    <t>拳銃用つりひも</t>
    <rPh sb="0" eb="2">
      <t>ケンジュウ</t>
    </rPh>
    <rPh sb="2" eb="3">
      <t>ヨウ</t>
    </rPh>
    <phoneticPr fontId="2"/>
  </si>
  <si>
    <t>魚沼市</t>
  </si>
  <si>
    <t>妙高市</t>
  </si>
  <si>
    <t>第１号様式　別紙１</t>
    <rPh sb="0" eb="1">
      <t>ダイ</t>
    </rPh>
    <rPh sb="2" eb="3">
      <t>ゴウ</t>
    </rPh>
    <rPh sb="3" eb="5">
      <t>ヨウシキ</t>
    </rPh>
    <rPh sb="6" eb="8">
      <t>ベッシ</t>
    </rPh>
    <phoneticPr fontId="2"/>
  </si>
  <si>
    <t>第１号様式　別紙２</t>
    <rPh sb="0" eb="1">
      <t>ダイ</t>
    </rPh>
    <rPh sb="2" eb="3">
      <t>ゴウ</t>
    </rPh>
    <rPh sb="3" eb="5">
      <t>ヨウシキ</t>
    </rPh>
    <rPh sb="6" eb="8">
      <t>ベッシ</t>
    </rPh>
    <phoneticPr fontId="2"/>
  </si>
  <si>
    <t>許認可等(許可・登録・認可・届出等）</t>
    <rPh sb="0" eb="3">
      <t>キョニンカ</t>
    </rPh>
    <rPh sb="3" eb="4">
      <t>トウ</t>
    </rPh>
    <rPh sb="5" eb="7">
      <t>キョカ</t>
    </rPh>
    <rPh sb="8" eb="10">
      <t>トウロク</t>
    </rPh>
    <rPh sb="11" eb="13">
      <t>ニンカ</t>
    </rPh>
    <rPh sb="14" eb="16">
      <t>トドケデ</t>
    </rPh>
    <rPh sb="16" eb="17">
      <t>トウ</t>
    </rPh>
    <phoneticPr fontId="2"/>
  </si>
  <si>
    <t>液体クロマトグラフ</t>
    <rPh sb="0" eb="1">
      <t>エキ</t>
    </rPh>
    <rPh sb="1" eb="2">
      <t>タイ</t>
    </rPh>
    <phoneticPr fontId="2"/>
  </si>
  <si>
    <t>小形除雪車（乗用）</t>
    <rPh sb="0" eb="2">
      <t>コガタ</t>
    </rPh>
    <rPh sb="2" eb="4">
      <t>ジョセツ</t>
    </rPh>
    <rPh sb="4" eb="5">
      <t>シャ</t>
    </rPh>
    <rPh sb="6" eb="8">
      <t>ジョウヨウ</t>
    </rPh>
    <phoneticPr fontId="2"/>
  </si>
  <si>
    <t>手押式除雪機</t>
    <rPh sb="0" eb="2">
      <t>テオ</t>
    </rPh>
    <rPh sb="2" eb="3">
      <t>シキ</t>
    </rPh>
    <rPh sb="3" eb="6">
      <t>ジョセツキ</t>
    </rPh>
    <phoneticPr fontId="2"/>
  </si>
  <si>
    <t>船舶・航空機</t>
    <rPh sb="0" eb="2">
      <t>センパク</t>
    </rPh>
    <rPh sb="3" eb="6">
      <t>コウクウキ</t>
    </rPh>
    <phoneticPr fontId="2"/>
  </si>
  <si>
    <t>航空機</t>
    <rPh sb="0" eb="3">
      <t>コウクウキ</t>
    </rPh>
    <phoneticPr fontId="2"/>
  </si>
  <si>
    <t>航空機装備品</t>
    <rPh sb="0" eb="3">
      <t>コウクウキ</t>
    </rPh>
    <rPh sb="3" eb="6">
      <t>ソウビヒン</t>
    </rPh>
    <phoneticPr fontId="2"/>
  </si>
  <si>
    <t>仮設トイレ・簡易トイレ</t>
    <rPh sb="0" eb="2">
      <t>カセツ</t>
    </rPh>
    <rPh sb="6" eb="8">
      <t>カンイ</t>
    </rPh>
    <phoneticPr fontId="2"/>
  </si>
  <si>
    <t>教育用材料</t>
    <rPh sb="0" eb="3">
      <t>キョウイクヨウ</t>
    </rPh>
    <rPh sb="3" eb="5">
      <t>ザイリョウ</t>
    </rPh>
    <phoneticPr fontId="2"/>
  </si>
  <si>
    <t>医療用衣料</t>
    <rPh sb="0" eb="3">
      <t>イリョウヨウ</t>
    </rPh>
    <rPh sb="3" eb="5">
      <t>イリョウ</t>
    </rPh>
    <phoneticPr fontId="2"/>
  </si>
  <si>
    <t>（警察官用を除く）</t>
    <rPh sb="1" eb="5">
      <t>ケイサツカンヨウ</t>
    </rPh>
    <rPh sb="6" eb="7">
      <t>ノゾ</t>
    </rPh>
    <phoneticPr fontId="2"/>
  </si>
  <si>
    <t>長靴</t>
    <rPh sb="0" eb="1">
      <t>チョウ</t>
    </rPh>
    <rPh sb="1" eb="2">
      <t>クツ</t>
    </rPh>
    <phoneticPr fontId="2"/>
  </si>
  <si>
    <t>消防ポンプ・ホース</t>
    <rPh sb="0" eb="2">
      <t>ショウボウ</t>
    </rPh>
    <phoneticPr fontId="2"/>
  </si>
  <si>
    <t>毛布</t>
    <rPh sb="0" eb="2">
      <t>モウフ</t>
    </rPh>
    <phoneticPr fontId="2"/>
  </si>
  <si>
    <t>携帯式トイレ</t>
    <rPh sb="0" eb="2">
      <t>ケイタイ</t>
    </rPh>
    <rPh sb="2" eb="3">
      <t>シキ</t>
    </rPh>
    <phoneticPr fontId="2"/>
  </si>
  <si>
    <t>靴類</t>
    <rPh sb="0" eb="1">
      <t>クツ</t>
    </rPh>
    <rPh sb="1" eb="2">
      <t>ルイ</t>
    </rPh>
    <phoneticPr fontId="2"/>
  </si>
  <si>
    <t>拳銃入れ</t>
    <rPh sb="0" eb="2">
      <t>ケンジュウ</t>
    </rPh>
    <rPh sb="2" eb="3">
      <t>イ</t>
    </rPh>
    <phoneticPr fontId="2"/>
  </si>
  <si>
    <t>警棒つり</t>
    <rPh sb="0" eb="2">
      <t>ケイボウ</t>
    </rPh>
    <phoneticPr fontId="2"/>
  </si>
  <si>
    <t>電光掲示板</t>
    <rPh sb="0" eb="2">
      <t>デンコウ</t>
    </rPh>
    <rPh sb="2" eb="4">
      <t>ケイジ</t>
    </rPh>
    <rPh sb="4" eb="5">
      <t>イタ</t>
    </rPh>
    <phoneticPr fontId="2"/>
  </si>
  <si>
    <t>種目名</t>
    <phoneticPr fontId="2"/>
  </si>
  <si>
    <t>許認可等終期</t>
    <rPh sb="0" eb="3">
      <t>キョニンカ</t>
    </rPh>
    <rPh sb="3" eb="4">
      <t>トウ</t>
    </rPh>
    <rPh sb="4" eb="6">
      <t>シュウキ</t>
    </rPh>
    <phoneticPr fontId="2"/>
  </si>
  <si>
    <t>許認可等始期</t>
    <rPh sb="0" eb="3">
      <t>キョニンカ</t>
    </rPh>
    <rPh sb="3" eb="4">
      <t>トウ</t>
    </rPh>
    <rPh sb="4" eb="6">
      <t>シキ</t>
    </rPh>
    <phoneticPr fontId="2"/>
  </si>
  <si>
    <t>許認可等官公庁名</t>
    <rPh sb="0" eb="3">
      <t>キョニンカ</t>
    </rPh>
    <rPh sb="3" eb="4">
      <t>トウ</t>
    </rPh>
    <rPh sb="4" eb="7">
      <t>カンコウチョウ</t>
    </rPh>
    <rPh sb="7" eb="8">
      <t>メイ</t>
    </rPh>
    <phoneticPr fontId="2"/>
  </si>
  <si>
    <t>申請日直近の事業年度の始期・終期</t>
    <rPh sb="0" eb="2">
      <t>シンセイ</t>
    </rPh>
    <rPh sb="2" eb="3">
      <t>ヒ</t>
    </rPh>
    <rPh sb="3" eb="5">
      <t>チョッキン</t>
    </rPh>
    <rPh sb="6" eb="8">
      <t>ジギョウ</t>
    </rPh>
    <rPh sb="8" eb="10">
      <t>ネンド</t>
    </rPh>
    <rPh sb="11" eb="13">
      <t>シキ</t>
    </rPh>
    <rPh sb="14" eb="16">
      <t>シュウキ</t>
    </rPh>
    <phoneticPr fontId="2"/>
  </si>
  <si>
    <t>申請日直近の事業年度の売上高</t>
    <rPh sb="0" eb="2">
      <t>シンセイ</t>
    </rPh>
    <rPh sb="2" eb="3">
      <t>ヒ</t>
    </rPh>
    <rPh sb="3" eb="5">
      <t>チョッキン</t>
    </rPh>
    <rPh sb="6" eb="8">
      <t>ジギョウ</t>
    </rPh>
    <rPh sb="8" eb="10">
      <t>ネンド</t>
    </rPh>
    <rPh sb="11" eb="13">
      <t>ウリアゲ</t>
    </rPh>
    <rPh sb="13" eb="14">
      <t>タカ</t>
    </rPh>
    <phoneticPr fontId="2"/>
  </si>
  <si>
    <t>商号又は名称</t>
    <phoneticPr fontId="2"/>
  </si>
  <si>
    <t>職名</t>
    <rPh sb="0" eb="2">
      <t>ショクメイ</t>
    </rPh>
    <phoneticPr fontId="2"/>
  </si>
  <si>
    <t>代表者</t>
    <phoneticPr fontId="2"/>
  </si>
  <si>
    <t>01</t>
    <phoneticPr fontId="2"/>
  </si>
  <si>
    <t>02</t>
    <phoneticPr fontId="2"/>
  </si>
  <si>
    <t>03</t>
  </si>
  <si>
    <t>03</t>
    <phoneticPr fontId="2"/>
  </si>
  <si>
    <t>04</t>
  </si>
  <si>
    <t>04</t>
    <phoneticPr fontId="2"/>
  </si>
  <si>
    <t>05</t>
  </si>
  <si>
    <t>05</t>
    <phoneticPr fontId="2"/>
  </si>
  <si>
    <t>06</t>
  </si>
  <si>
    <t>06</t>
    <phoneticPr fontId="2"/>
  </si>
  <si>
    <t>07</t>
    <phoneticPr fontId="2"/>
  </si>
  <si>
    <t>08</t>
  </si>
  <si>
    <t>08</t>
    <phoneticPr fontId="2"/>
  </si>
  <si>
    <t>09</t>
  </si>
  <si>
    <t>09</t>
    <phoneticPr fontId="2"/>
  </si>
  <si>
    <t>薬品・肥飼料・資材類</t>
    <rPh sb="0" eb="2">
      <t>ヤクヒン</t>
    </rPh>
    <rPh sb="3" eb="4">
      <t>ヒ</t>
    </rPh>
    <rPh sb="4" eb="6">
      <t>シリョウ</t>
    </rPh>
    <rPh sb="7" eb="9">
      <t>シザイ</t>
    </rPh>
    <rPh sb="9" eb="10">
      <t>ルイ</t>
    </rPh>
    <phoneticPr fontId="2"/>
  </si>
  <si>
    <t>車両・船舶類</t>
    <rPh sb="0" eb="1">
      <t>シャ</t>
    </rPh>
    <rPh sb="1" eb="2">
      <t>リョウ</t>
    </rPh>
    <rPh sb="3" eb="5">
      <t>センパク</t>
    </rPh>
    <rPh sb="5" eb="6">
      <t>ルイ</t>
    </rPh>
    <phoneticPr fontId="2"/>
  </si>
  <si>
    <t>05大分類</t>
    <rPh sb="2" eb="3">
      <t>ダイ</t>
    </rPh>
    <rPh sb="3" eb="5">
      <t>ブンルイ</t>
    </rPh>
    <phoneticPr fontId="2"/>
  </si>
  <si>
    <t>06指名</t>
    <rPh sb="2" eb="4">
      <t>シメイ</t>
    </rPh>
    <phoneticPr fontId="2"/>
  </si>
  <si>
    <t>写真機器・写真用消耗品</t>
    <rPh sb="0" eb="2">
      <t>シャシン</t>
    </rPh>
    <rPh sb="2" eb="4">
      <t>キキ</t>
    </rPh>
    <rPh sb="5" eb="7">
      <t>シャシン</t>
    </rPh>
    <rPh sb="7" eb="8">
      <t>ヨウ</t>
    </rPh>
    <rPh sb="8" eb="11">
      <t>ショウモウヒン</t>
    </rPh>
    <phoneticPr fontId="2"/>
  </si>
  <si>
    <t>農業薬品・農業資機材</t>
    <rPh sb="0" eb="2">
      <t>ノウギョウ</t>
    </rPh>
    <rPh sb="2" eb="4">
      <t>ヤクヒン</t>
    </rPh>
    <rPh sb="5" eb="7">
      <t>ノウギョウ</t>
    </rPh>
    <rPh sb="7" eb="8">
      <t>シ</t>
    </rPh>
    <rPh sb="8" eb="9">
      <t>キ</t>
    </rPh>
    <rPh sb="9" eb="10">
      <t>ザイ</t>
    </rPh>
    <phoneticPr fontId="2"/>
  </si>
  <si>
    <t>工業薬品・施設用消耗資材</t>
    <rPh sb="0" eb="2">
      <t>コウギョウ</t>
    </rPh>
    <rPh sb="2" eb="4">
      <t>ヤクヒン</t>
    </rPh>
    <rPh sb="5" eb="7">
      <t>シセツ</t>
    </rPh>
    <rPh sb="7" eb="8">
      <t>ヨウ</t>
    </rPh>
    <rPh sb="8" eb="10">
      <t>ショウモウ</t>
    </rPh>
    <rPh sb="10" eb="12">
      <t>シザイ</t>
    </rPh>
    <phoneticPr fontId="2"/>
  </si>
  <si>
    <t>鉄鋼・非鉄・鋳鉄類</t>
    <rPh sb="0" eb="2">
      <t>テッコウ</t>
    </rPh>
    <rPh sb="3" eb="4">
      <t>ヒ</t>
    </rPh>
    <rPh sb="4" eb="5">
      <t>テツ</t>
    </rPh>
    <rPh sb="6" eb="8">
      <t>チュウテツ</t>
    </rPh>
    <rPh sb="8" eb="9">
      <t>ルイ</t>
    </rPh>
    <phoneticPr fontId="2"/>
  </si>
  <si>
    <t>コンクリート・セメント・舗装材類</t>
    <rPh sb="12" eb="14">
      <t>ホソウ</t>
    </rPh>
    <rPh sb="14" eb="15">
      <t>ザイ</t>
    </rPh>
    <rPh sb="15" eb="16">
      <t>ルイ</t>
    </rPh>
    <phoneticPr fontId="2"/>
  </si>
  <si>
    <t>運動具</t>
    <rPh sb="0" eb="3">
      <t>ウンドウグ</t>
    </rPh>
    <phoneticPr fontId="2"/>
  </si>
  <si>
    <t>徽章・記念品・贈答品類</t>
    <rPh sb="0" eb="2">
      <t>キショウ</t>
    </rPh>
    <rPh sb="3" eb="6">
      <t>キネンヒン</t>
    </rPh>
    <rPh sb="7" eb="10">
      <t>ゾウトウヒン</t>
    </rPh>
    <rPh sb="10" eb="11">
      <t>ルイ</t>
    </rPh>
    <phoneticPr fontId="2"/>
  </si>
  <si>
    <t>被服・繊維・寝具（警察官用を除く）</t>
    <rPh sb="0" eb="2">
      <t>ヒフク</t>
    </rPh>
    <rPh sb="3" eb="5">
      <t>センイ</t>
    </rPh>
    <rPh sb="6" eb="8">
      <t>シング</t>
    </rPh>
    <rPh sb="9" eb="12">
      <t>ケイサツカン</t>
    </rPh>
    <rPh sb="12" eb="13">
      <t>ヨウ</t>
    </rPh>
    <rPh sb="14" eb="15">
      <t>ノゾ</t>
    </rPh>
    <phoneticPr fontId="2"/>
  </si>
  <si>
    <t>消防・防災・保安用品（警察官用を除く）</t>
    <rPh sb="0" eb="2">
      <t>ショウボウ</t>
    </rPh>
    <rPh sb="3" eb="5">
      <t>ボウサイ</t>
    </rPh>
    <rPh sb="6" eb="8">
      <t>ホアン</t>
    </rPh>
    <rPh sb="8" eb="10">
      <t>ヨウヒン</t>
    </rPh>
    <rPh sb="11" eb="13">
      <t>ケイサツ</t>
    </rPh>
    <rPh sb="13" eb="14">
      <t>カン</t>
    </rPh>
    <rPh sb="14" eb="15">
      <t>ヨウ</t>
    </rPh>
    <rPh sb="16" eb="17">
      <t>ノゾ</t>
    </rPh>
    <phoneticPr fontId="2"/>
  </si>
  <si>
    <t>警察官用被服（防護衣を除く）</t>
    <rPh sb="0" eb="3">
      <t>ケイサツカン</t>
    </rPh>
    <rPh sb="3" eb="4">
      <t>ヨウ</t>
    </rPh>
    <rPh sb="4" eb="6">
      <t>ヒフク</t>
    </rPh>
    <rPh sb="7" eb="9">
      <t>ボウゴ</t>
    </rPh>
    <rPh sb="9" eb="10">
      <t>ギヌ</t>
    </rPh>
    <rPh sb="11" eb="12">
      <t>ノゾ</t>
    </rPh>
    <phoneticPr fontId="2"/>
  </si>
  <si>
    <t>警察官用装備品</t>
    <rPh sb="0" eb="2">
      <t>ケイサツ</t>
    </rPh>
    <rPh sb="2" eb="3">
      <t>カン</t>
    </rPh>
    <rPh sb="3" eb="4">
      <t>ヨウ</t>
    </rPh>
    <rPh sb="4" eb="7">
      <t>ソウビヒン</t>
    </rPh>
    <phoneticPr fontId="2"/>
  </si>
  <si>
    <t>看板・旗類等</t>
    <rPh sb="0" eb="1">
      <t>ミ</t>
    </rPh>
    <rPh sb="1" eb="2">
      <t>イタ</t>
    </rPh>
    <rPh sb="3" eb="4">
      <t>ハタ</t>
    </rPh>
    <rPh sb="4" eb="5">
      <t>ルイ</t>
    </rPh>
    <rPh sb="5" eb="6">
      <t>トウ</t>
    </rPh>
    <phoneticPr fontId="2"/>
  </si>
  <si>
    <t>車両・船舶・航空機装備品</t>
    <rPh sb="0" eb="2">
      <t>シャリョウ</t>
    </rPh>
    <rPh sb="3" eb="5">
      <t>センパク</t>
    </rPh>
    <rPh sb="6" eb="9">
      <t>コウクウキ</t>
    </rPh>
    <rPh sb="9" eb="12">
      <t>ソウビヒン</t>
    </rPh>
    <phoneticPr fontId="2"/>
  </si>
  <si>
    <t>201</t>
  </si>
  <si>
    <t>新潟市</t>
  </si>
  <si>
    <t>202</t>
  </si>
  <si>
    <t>長岡市</t>
  </si>
  <si>
    <t>204</t>
  </si>
  <si>
    <t>三条市</t>
  </si>
  <si>
    <t>205</t>
  </si>
  <si>
    <t>柏崎市</t>
  </si>
  <si>
    <t>206</t>
  </si>
  <si>
    <t>新発田市</t>
  </si>
  <si>
    <t>208</t>
  </si>
  <si>
    <t>小千谷市</t>
  </si>
  <si>
    <t>209</t>
  </si>
  <si>
    <t>加茂市</t>
  </si>
  <si>
    <t>210</t>
  </si>
  <si>
    <t>十日町市</t>
  </si>
  <si>
    <t>211</t>
  </si>
  <si>
    <t>見附市</t>
  </si>
  <si>
    <t>212</t>
  </si>
  <si>
    <t>村上市</t>
  </si>
  <si>
    <t>213</t>
  </si>
  <si>
    <t>燕市</t>
  </si>
  <si>
    <t>216</t>
  </si>
  <si>
    <t>糸魚川市</t>
  </si>
  <si>
    <t>217</t>
  </si>
  <si>
    <t>218</t>
  </si>
  <si>
    <t>五泉市</t>
  </si>
  <si>
    <t>222</t>
  </si>
  <si>
    <t>上越市</t>
  </si>
  <si>
    <t>223</t>
  </si>
  <si>
    <t>阿賀野市</t>
  </si>
  <si>
    <t>224</t>
  </si>
  <si>
    <t>佐渡市</t>
  </si>
  <si>
    <t>225</t>
  </si>
  <si>
    <t>226</t>
  </si>
  <si>
    <t>南魚沼市</t>
  </si>
  <si>
    <t>227</t>
  </si>
  <si>
    <t>胎内市</t>
  </si>
  <si>
    <t>307</t>
  </si>
  <si>
    <t>聖籠町</t>
  </si>
  <si>
    <t>342</t>
  </si>
  <si>
    <t>弥彦村</t>
  </si>
  <si>
    <t>361</t>
  </si>
  <si>
    <t>田上町</t>
  </si>
  <si>
    <t>385</t>
  </si>
  <si>
    <t>阿賀町</t>
  </si>
  <si>
    <t>405</t>
  </si>
  <si>
    <t>出雲崎町</t>
  </si>
  <si>
    <t>461</t>
  </si>
  <si>
    <t>湯沢町</t>
  </si>
  <si>
    <t>482</t>
  </si>
  <si>
    <t>津南町</t>
  </si>
  <si>
    <t>504</t>
  </si>
  <si>
    <t>刈羽村</t>
  </si>
  <si>
    <t>581</t>
  </si>
  <si>
    <t>関川村</t>
  </si>
  <si>
    <t>586</t>
  </si>
  <si>
    <t>粟島浦村</t>
  </si>
  <si>
    <t>999</t>
  </si>
  <si>
    <t>県外</t>
  </si>
  <si>
    <t>○</t>
    <phoneticPr fontId="2"/>
  </si>
  <si>
    <t>×</t>
    <phoneticPr fontId="2"/>
  </si>
  <si>
    <t>代理人住所</t>
    <rPh sb="0" eb="3">
      <t>ダイリニン</t>
    </rPh>
    <rPh sb="3" eb="5">
      <t>ジュウショ</t>
    </rPh>
    <phoneticPr fontId="2"/>
  </si>
  <si>
    <t>月</t>
    <rPh sb="0" eb="1">
      <t>ガツ</t>
    </rPh>
    <phoneticPr fontId="2"/>
  </si>
  <si>
    <t>日</t>
    <rPh sb="0" eb="1">
      <t>ニチ</t>
    </rPh>
    <phoneticPr fontId="2"/>
  </si>
  <si>
    <t>送付先名称</t>
    <rPh sb="0" eb="2">
      <t>ソウフ</t>
    </rPh>
    <rPh sb="2" eb="3">
      <t>サキ</t>
    </rPh>
    <rPh sb="3" eb="5">
      <t>メイショウ</t>
    </rPh>
    <phoneticPr fontId="2"/>
  </si>
  <si>
    <t>工業用薬品・施設用</t>
    <rPh sb="0" eb="2">
      <t>コウギョウ</t>
    </rPh>
    <rPh sb="2" eb="3">
      <t>ヨウ</t>
    </rPh>
    <rPh sb="3" eb="5">
      <t>ヤクヒン</t>
    </rPh>
    <rPh sb="6" eb="9">
      <t>シセツヨウ</t>
    </rPh>
    <phoneticPr fontId="2"/>
  </si>
  <si>
    <t>車両・船舶・航空機</t>
    <rPh sb="0" eb="2">
      <t>シャリョウ</t>
    </rPh>
    <rPh sb="3" eb="5">
      <t>センパク</t>
    </rPh>
    <rPh sb="6" eb="9">
      <t>コウクウキ</t>
    </rPh>
    <phoneticPr fontId="2"/>
  </si>
  <si>
    <t>徽章・記念品・贈答品</t>
    <rPh sb="0" eb="2">
      <t>キショウ</t>
    </rPh>
    <rPh sb="3" eb="6">
      <t>キネンヒン</t>
    </rPh>
    <rPh sb="7" eb="10">
      <t>ゾウトウヒン</t>
    </rPh>
    <phoneticPr fontId="2"/>
  </si>
  <si>
    <t>写真機器・写真用</t>
    <rPh sb="0" eb="2">
      <t>シャシン</t>
    </rPh>
    <rPh sb="2" eb="4">
      <t>キキ</t>
    </rPh>
    <rPh sb="5" eb="7">
      <t>シャシン</t>
    </rPh>
    <rPh sb="7" eb="8">
      <t>ヨウ</t>
    </rPh>
    <phoneticPr fontId="2"/>
  </si>
  <si>
    <t>人</t>
    <rPh sb="0" eb="1">
      <t>ニン</t>
    </rPh>
    <phoneticPr fontId="2"/>
  </si>
  <si>
    <t>第１号様式</t>
    <rPh sb="0" eb="1">
      <t>ダイ</t>
    </rPh>
    <rPh sb="2" eb="3">
      <t>ゴウ</t>
    </rPh>
    <rPh sb="3" eb="5">
      <t>ヨウシキ</t>
    </rPh>
    <phoneticPr fontId="2"/>
  </si>
  <si>
    <t>日</t>
    <rPh sb="0" eb="1">
      <t>ヒ</t>
    </rPh>
    <phoneticPr fontId="2"/>
  </si>
  <si>
    <t>月</t>
    <rPh sb="0" eb="1">
      <t>ツキ</t>
    </rPh>
    <phoneticPr fontId="2"/>
  </si>
  <si>
    <t>年</t>
    <rPh sb="0" eb="1">
      <t>ネン</t>
    </rPh>
    <phoneticPr fontId="2"/>
  </si>
  <si>
    <t>郵便番号</t>
    <rPh sb="0" eb="2">
      <t>ユウビン</t>
    </rPh>
    <rPh sb="2" eb="4">
      <t>バンゴウ</t>
    </rPh>
    <phoneticPr fontId="2"/>
  </si>
  <si>
    <t>氏名</t>
    <rPh sb="0" eb="2">
      <t>シメイ</t>
    </rPh>
    <phoneticPr fontId="2"/>
  </si>
  <si>
    <t>営業区分</t>
    <rPh sb="0" eb="2">
      <t>エイギョウ</t>
    </rPh>
    <rPh sb="2" eb="4">
      <t>クブン</t>
    </rPh>
    <phoneticPr fontId="2"/>
  </si>
  <si>
    <t>営業概要</t>
    <rPh sb="0" eb="2">
      <t>エイギョウ</t>
    </rPh>
    <rPh sb="2" eb="4">
      <t>ガイヨウ</t>
    </rPh>
    <phoneticPr fontId="2"/>
  </si>
  <si>
    <t>コード番号</t>
    <rPh sb="3" eb="5">
      <t>バンゴウ</t>
    </rPh>
    <phoneticPr fontId="2"/>
  </si>
  <si>
    <t>大分類</t>
    <rPh sb="0" eb="3">
      <t>ダイブンルイ</t>
    </rPh>
    <phoneticPr fontId="2"/>
  </si>
  <si>
    <t>文具事務機器類</t>
    <rPh sb="0" eb="2">
      <t>ブング</t>
    </rPh>
    <rPh sb="2" eb="4">
      <t>ジム</t>
    </rPh>
    <rPh sb="4" eb="7">
      <t>キキルイ</t>
    </rPh>
    <phoneticPr fontId="2"/>
  </si>
  <si>
    <t>印刷・印章類</t>
    <rPh sb="0" eb="2">
      <t>インサツ</t>
    </rPh>
    <rPh sb="3" eb="5">
      <t>インショウ</t>
    </rPh>
    <rPh sb="5" eb="6">
      <t>ルイ</t>
    </rPh>
    <phoneticPr fontId="2"/>
  </si>
  <si>
    <t>機械類</t>
    <rPh sb="0" eb="2">
      <t>キカイ</t>
    </rPh>
    <rPh sb="2" eb="3">
      <t>ルイ</t>
    </rPh>
    <phoneticPr fontId="2"/>
  </si>
  <si>
    <t>車両・船舶類</t>
    <rPh sb="0" eb="2">
      <t>シャリョウ</t>
    </rPh>
    <rPh sb="3" eb="5">
      <t>センパク</t>
    </rPh>
    <rPh sb="5" eb="6">
      <t>ルイ</t>
    </rPh>
    <phoneticPr fontId="2"/>
  </si>
  <si>
    <t>燃料・油脂類</t>
    <rPh sb="0" eb="2">
      <t>ネンリョウ</t>
    </rPh>
    <rPh sb="3" eb="5">
      <t>ユシ</t>
    </rPh>
    <rPh sb="5" eb="6">
      <t>ルイ</t>
    </rPh>
    <phoneticPr fontId="2"/>
  </si>
  <si>
    <t>雑類</t>
    <rPh sb="0" eb="1">
      <t>ザツ</t>
    </rPh>
    <rPh sb="1" eb="2">
      <t>ルイ</t>
    </rPh>
    <phoneticPr fontId="2"/>
  </si>
  <si>
    <t>中分類</t>
    <rPh sb="0" eb="1">
      <t>チュウ</t>
    </rPh>
    <rPh sb="1" eb="3">
      <t>ブンルイ</t>
    </rPh>
    <phoneticPr fontId="2"/>
  </si>
  <si>
    <t>用紙</t>
    <rPh sb="0" eb="2">
      <t>ヨウシ</t>
    </rPh>
    <phoneticPr fontId="2"/>
  </si>
  <si>
    <t>上質紙・中質紙</t>
    <rPh sb="0" eb="2">
      <t>ジョウシツ</t>
    </rPh>
    <rPh sb="2" eb="3">
      <t>シ</t>
    </rPh>
    <rPh sb="4" eb="5">
      <t>チュウ</t>
    </rPh>
    <rPh sb="5" eb="6">
      <t>シツ</t>
    </rPh>
    <rPh sb="6" eb="7">
      <t>シ</t>
    </rPh>
    <phoneticPr fontId="2"/>
  </si>
  <si>
    <t>ＰＰＣ用紙</t>
    <rPh sb="3" eb="5">
      <t>ヨウシ</t>
    </rPh>
    <phoneticPr fontId="2"/>
  </si>
  <si>
    <t>加工紙</t>
    <rPh sb="0" eb="2">
      <t>カコウ</t>
    </rPh>
    <rPh sb="2" eb="3">
      <t>カミ</t>
    </rPh>
    <phoneticPr fontId="2"/>
  </si>
  <si>
    <t>和紙</t>
    <rPh sb="0" eb="2">
      <t>ワシ</t>
    </rPh>
    <phoneticPr fontId="2"/>
  </si>
  <si>
    <t>文具・事務機器</t>
    <rPh sb="0" eb="2">
      <t>ブング</t>
    </rPh>
    <rPh sb="3" eb="5">
      <t>ジム</t>
    </rPh>
    <rPh sb="5" eb="7">
      <t>キキ</t>
    </rPh>
    <phoneticPr fontId="2"/>
  </si>
  <si>
    <t>製図台</t>
  </si>
  <si>
    <t>パソコン周辺機器</t>
    <rPh sb="4" eb="6">
      <t>シュウヘン</t>
    </rPh>
    <rPh sb="6" eb="8">
      <t>キキ</t>
    </rPh>
    <phoneticPr fontId="2"/>
  </si>
  <si>
    <t>複写機・（点字）印刷機</t>
    <rPh sb="0" eb="3">
      <t>フクシャキ</t>
    </rPh>
    <rPh sb="5" eb="7">
      <t>テンジ</t>
    </rPh>
    <rPh sb="8" eb="11">
      <t>インサツキ</t>
    </rPh>
    <phoneticPr fontId="2"/>
  </si>
  <si>
    <t>ＯＡ消耗品</t>
    <rPh sb="2" eb="5">
      <t>ショウモウヒン</t>
    </rPh>
    <phoneticPr fontId="2"/>
  </si>
  <si>
    <t>その他事務機器</t>
    <rPh sb="2" eb="3">
      <t>タ</t>
    </rPh>
    <rPh sb="3" eb="5">
      <t>ジム</t>
    </rPh>
    <rPh sb="5" eb="7">
      <t>キキ</t>
    </rPh>
    <phoneticPr fontId="2"/>
  </si>
  <si>
    <t>家具類</t>
    <rPh sb="0" eb="2">
      <t>カグ</t>
    </rPh>
    <rPh sb="2" eb="3">
      <t>ルイ</t>
    </rPh>
    <phoneticPr fontId="2"/>
  </si>
  <si>
    <t>家具</t>
    <rPh sb="0" eb="2">
      <t>カグ</t>
    </rPh>
    <phoneticPr fontId="2"/>
  </si>
  <si>
    <t>木製家具</t>
    <rPh sb="0" eb="2">
      <t>モクセイ</t>
    </rPh>
    <rPh sb="2" eb="4">
      <t>カグ</t>
    </rPh>
    <phoneticPr fontId="2"/>
  </si>
  <si>
    <t>スチール家具</t>
    <rPh sb="4" eb="6">
      <t>カグ</t>
    </rPh>
    <phoneticPr fontId="2"/>
  </si>
  <si>
    <t>図書館用什器</t>
    <rPh sb="0" eb="3">
      <t>トショカン</t>
    </rPh>
    <rPh sb="3" eb="4">
      <t>ヨウ</t>
    </rPh>
    <rPh sb="4" eb="6">
      <t>ジュウキ</t>
    </rPh>
    <phoneticPr fontId="2"/>
  </si>
  <si>
    <t>美術館用什器</t>
    <rPh sb="0" eb="3">
      <t>ビジュツカン</t>
    </rPh>
    <rPh sb="3" eb="4">
      <t>ヨウ</t>
    </rPh>
    <rPh sb="4" eb="6">
      <t>ジュウキ</t>
    </rPh>
    <phoneticPr fontId="2"/>
  </si>
  <si>
    <t>移動棚</t>
    <rPh sb="0" eb="2">
      <t>イドウ</t>
    </rPh>
    <rPh sb="2" eb="3">
      <t>タナ</t>
    </rPh>
    <phoneticPr fontId="2"/>
  </si>
  <si>
    <t>実験台</t>
    <rPh sb="0" eb="2">
      <t>ジッケン</t>
    </rPh>
    <rPh sb="2" eb="3">
      <t>ダイ</t>
    </rPh>
    <phoneticPr fontId="2"/>
  </si>
  <si>
    <t>簡易間仕切り</t>
    <rPh sb="0" eb="2">
      <t>カンイ</t>
    </rPh>
    <rPh sb="2" eb="5">
      <t>マジキ</t>
    </rPh>
    <phoneticPr fontId="2"/>
  </si>
  <si>
    <t>その他家具類</t>
    <rPh sb="2" eb="3">
      <t>タ</t>
    </rPh>
    <rPh sb="3" eb="5">
      <t>カグ</t>
    </rPh>
    <rPh sb="5" eb="6">
      <t>ルイ</t>
    </rPh>
    <phoneticPr fontId="2"/>
  </si>
  <si>
    <t>軽印刷</t>
    <rPh sb="0" eb="1">
      <t>ケイ</t>
    </rPh>
    <rPh sb="1" eb="3">
      <t>インサツ</t>
    </rPh>
    <phoneticPr fontId="2"/>
  </si>
  <si>
    <t>会議資料・報告書</t>
    <rPh sb="0" eb="2">
      <t>カイギ</t>
    </rPh>
    <rPh sb="2" eb="4">
      <t>シリョウ</t>
    </rPh>
    <rPh sb="5" eb="8">
      <t>ホウコクショ</t>
    </rPh>
    <phoneticPr fontId="2"/>
  </si>
  <si>
    <t>冊子・パンフ・チラシ</t>
    <rPh sb="0" eb="2">
      <t>サッシ</t>
    </rPh>
    <phoneticPr fontId="2"/>
  </si>
  <si>
    <t>名入封筒</t>
    <rPh sb="0" eb="1">
      <t>ナ</t>
    </rPh>
    <rPh sb="1" eb="2">
      <t>イ</t>
    </rPh>
    <rPh sb="2" eb="4">
      <t>フウトウ</t>
    </rPh>
    <phoneticPr fontId="2"/>
  </si>
  <si>
    <t>その他軽印刷</t>
    <rPh sb="2" eb="3">
      <t>タ</t>
    </rPh>
    <rPh sb="3" eb="4">
      <t>ケイ</t>
    </rPh>
    <rPh sb="4" eb="6">
      <t>インサツ</t>
    </rPh>
    <phoneticPr fontId="2"/>
  </si>
  <si>
    <t>複写伝票</t>
    <rPh sb="0" eb="2">
      <t>フクシャ</t>
    </rPh>
    <rPh sb="2" eb="4">
      <t>デンピョウ</t>
    </rPh>
    <phoneticPr fontId="2"/>
  </si>
  <si>
    <t>地図（管内図）等</t>
    <rPh sb="0" eb="2">
      <t>チズ</t>
    </rPh>
    <rPh sb="3" eb="5">
      <t>カンナイ</t>
    </rPh>
    <rPh sb="5" eb="6">
      <t>ズ</t>
    </rPh>
    <rPh sb="7" eb="8">
      <t>トウ</t>
    </rPh>
    <phoneticPr fontId="2"/>
  </si>
  <si>
    <t>[軽・フォーム以外の印刷]</t>
    <rPh sb="1" eb="2">
      <t>ケイ</t>
    </rPh>
    <rPh sb="7" eb="9">
      <t>イガイ</t>
    </rPh>
    <rPh sb="10" eb="12">
      <t>インサツ</t>
    </rPh>
    <phoneticPr fontId="2"/>
  </si>
  <si>
    <t>カード・包装印刷</t>
    <rPh sb="4" eb="6">
      <t>ホウソウ</t>
    </rPh>
    <rPh sb="6" eb="8">
      <t>インサツ</t>
    </rPh>
    <phoneticPr fontId="2"/>
  </si>
  <si>
    <t>フォーム印刷</t>
    <rPh sb="4" eb="6">
      <t>インサツ</t>
    </rPh>
    <phoneticPr fontId="2"/>
  </si>
  <si>
    <t>圧着はがき</t>
    <rPh sb="0" eb="2">
      <t>アッチャク</t>
    </rPh>
    <phoneticPr fontId="2"/>
  </si>
  <si>
    <t>OCR用紙</t>
    <rPh sb="3" eb="5">
      <t>ヨウシ</t>
    </rPh>
    <phoneticPr fontId="2"/>
  </si>
  <si>
    <t>OMR用紙</t>
    <rPh sb="3" eb="5">
      <t>ヨウシ</t>
    </rPh>
    <phoneticPr fontId="2"/>
  </si>
  <si>
    <t>その他連続用紙</t>
    <rPh sb="2" eb="3">
      <t>タ</t>
    </rPh>
    <rPh sb="3" eb="5">
      <t>レンゾク</t>
    </rPh>
    <rPh sb="5" eb="7">
      <t>ヨウシ</t>
    </rPh>
    <phoneticPr fontId="2"/>
  </si>
  <si>
    <t>その他フォーム印刷</t>
    <rPh sb="2" eb="3">
      <t>タ</t>
    </rPh>
    <rPh sb="7" eb="9">
      <t>インサツ</t>
    </rPh>
    <phoneticPr fontId="2"/>
  </si>
  <si>
    <t>青写真</t>
    <rPh sb="0" eb="1">
      <t>アオ</t>
    </rPh>
    <rPh sb="1" eb="3">
      <t>シャシン</t>
    </rPh>
    <phoneticPr fontId="2"/>
  </si>
  <si>
    <t>焼付</t>
    <rPh sb="0" eb="2">
      <t>ヤキツ</t>
    </rPh>
    <phoneticPr fontId="2"/>
  </si>
  <si>
    <t>その他青写真</t>
    <rPh sb="2" eb="3">
      <t>タ</t>
    </rPh>
    <rPh sb="3" eb="4">
      <t>アオ</t>
    </rPh>
    <rPh sb="4" eb="6">
      <t>シャシン</t>
    </rPh>
    <phoneticPr fontId="2"/>
  </si>
  <si>
    <t>印章</t>
    <rPh sb="0" eb="2">
      <t>インショウ</t>
    </rPh>
    <phoneticPr fontId="2"/>
  </si>
  <si>
    <t>印鑑</t>
    <rPh sb="0" eb="2">
      <t>インカン</t>
    </rPh>
    <phoneticPr fontId="2"/>
  </si>
  <si>
    <t>ゴム印</t>
    <rPh sb="2" eb="3">
      <t>イン</t>
    </rPh>
    <phoneticPr fontId="2"/>
  </si>
  <si>
    <t>その他印章類</t>
    <rPh sb="2" eb="3">
      <t>タ</t>
    </rPh>
    <rPh sb="3" eb="5">
      <t>インショウ</t>
    </rPh>
    <rPh sb="5" eb="6">
      <t>ルイ</t>
    </rPh>
    <phoneticPr fontId="2"/>
  </si>
  <si>
    <t>電気・通信機器</t>
    <rPh sb="0" eb="2">
      <t>デンキ</t>
    </rPh>
    <rPh sb="3" eb="5">
      <t>ツウシン</t>
    </rPh>
    <rPh sb="5" eb="7">
      <t>キキ</t>
    </rPh>
    <phoneticPr fontId="2"/>
  </si>
  <si>
    <t>家庭用電化製品</t>
    <rPh sb="0" eb="2">
      <t>カテイ</t>
    </rPh>
    <rPh sb="2" eb="3">
      <t>ヨウ</t>
    </rPh>
    <rPh sb="3" eb="5">
      <t>デンカ</t>
    </rPh>
    <rPh sb="5" eb="7">
      <t>セイヒン</t>
    </rPh>
    <phoneticPr fontId="2"/>
  </si>
  <si>
    <t>ビデオ編集機器</t>
    <rPh sb="3" eb="5">
      <t>ヘンシュウ</t>
    </rPh>
    <rPh sb="5" eb="7">
      <t>キキ</t>
    </rPh>
    <phoneticPr fontId="2"/>
  </si>
  <si>
    <t>放送・視聴覚機器</t>
    <rPh sb="0" eb="2">
      <t>ホウソウ</t>
    </rPh>
    <rPh sb="3" eb="6">
      <t>シチョウカク</t>
    </rPh>
    <rPh sb="6" eb="8">
      <t>キキ</t>
    </rPh>
    <phoneticPr fontId="2"/>
  </si>
  <si>
    <t>電話関係機器</t>
    <rPh sb="0" eb="2">
      <t>デンワ</t>
    </rPh>
    <rPh sb="2" eb="4">
      <t>カンケイ</t>
    </rPh>
    <rPh sb="4" eb="6">
      <t>キキ</t>
    </rPh>
    <phoneticPr fontId="2"/>
  </si>
  <si>
    <t>無線関係機器</t>
    <rPh sb="0" eb="2">
      <t>ムセン</t>
    </rPh>
    <rPh sb="2" eb="4">
      <t>カンケイ</t>
    </rPh>
    <rPh sb="4" eb="6">
      <t>キキ</t>
    </rPh>
    <phoneticPr fontId="2"/>
  </si>
  <si>
    <t>監視カメラ</t>
    <rPh sb="0" eb="2">
      <t>カンシ</t>
    </rPh>
    <phoneticPr fontId="2"/>
  </si>
  <si>
    <t>警報装置</t>
    <rPh sb="0" eb="2">
      <t>ケイホウ</t>
    </rPh>
    <rPh sb="2" eb="4">
      <t>ソウチ</t>
    </rPh>
    <phoneticPr fontId="2"/>
  </si>
  <si>
    <t>照明機器</t>
    <rPh sb="0" eb="2">
      <t>ショウメイ</t>
    </rPh>
    <rPh sb="2" eb="4">
      <t>キキ</t>
    </rPh>
    <phoneticPr fontId="2"/>
  </si>
  <si>
    <t>その他電気・通信機器</t>
    <rPh sb="2" eb="3">
      <t>タ</t>
    </rPh>
    <rPh sb="3" eb="5">
      <t>デンキ</t>
    </rPh>
    <rPh sb="6" eb="8">
      <t>ツウシン</t>
    </rPh>
    <rPh sb="8" eb="10">
      <t>キキ</t>
    </rPh>
    <phoneticPr fontId="2"/>
  </si>
  <si>
    <t>医療機器</t>
    <rPh sb="0" eb="2">
      <t>イリョウ</t>
    </rPh>
    <rPh sb="2" eb="4">
      <t>キキ</t>
    </rPh>
    <phoneticPr fontId="2"/>
  </si>
  <si>
    <t>生体検査機器</t>
    <rPh sb="0" eb="2">
      <t>セイタイ</t>
    </rPh>
    <rPh sb="2" eb="4">
      <t>ケンサ</t>
    </rPh>
    <rPh sb="4" eb="6">
      <t>キキ</t>
    </rPh>
    <phoneticPr fontId="2"/>
  </si>
  <si>
    <t>検体検査機器</t>
    <rPh sb="0" eb="2">
      <t>ケンタイ</t>
    </rPh>
    <rPh sb="2" eb="4">
      <t>ケンサ</t>
    </rPh>
    <rPh sb="4" eb="6">
      <t>キキ</t>
    </rPh>
    <phoneticPr fontId="2"/>
  </si>
  <si>
    <t>治療用機器</t>
    <rPh sb="0" eb="2">
      <t>チリョウ</t>
    </rPh>
    <rPh sb="2" eb="3">
      <t>ヨウ</t>
    </rPh>
    <rPh sb="3" eb="5">
      <t>キキ</t>
    </rPh>
    <phoneticPr fontId="2"/>
  </si>
  <si>
    <t>放射線関連機器</t>
    <rPh sb="0" eb="3">
      <t>ホウシャセン</t>
    </rPh>
    <rPh sb="3" eb="5">
      <t>カンレン</t>
    </rPh>
    <rPh sb="5" eb="7">
      <t>キキ</t>
    </rPh>
    <phoneticPr fontId="2"/>
  </si>
  <si>
    <t>手術関連機器</t>
    <rPh sb="0" eb="2">
      <t>シュジュツ</t>
    </rPh>
    <rPh sb="2" eb="4">
      <t>カンレン</t>
    </rPh>
    <rPh sb="4" eb="6">
      <t>キキ</t>
    </rPh>
    <phoneticPr fontId="2"/>
  </si>
  <si>
    <t>調剤機器</t>
    <rPh sb="0" eb="2">
      <t>チョウザイ</t>
    </rPh>
    <rPh sb="2" eb="4">
      <t>キキ</t>
    </rPh>
    <phoneticPr fontId="2"/>
  </si>
  <si>
    <t>歯科用機器</t>
    <rPh sb="0" eb="2">
      <t>シカ</t>
    </rPh>
    <rPh sb="2" eb="3">
      <t>ヨウ</t>
    </rPh>
    <rPh sb="3" eb="5">
      <t>キキ</t>
    </rPh>
    <phoneticPr fontId="2"/>
  </si>
  <si>
    <t>その他医療機器</t>
    <rPh sb="2" eb="3">
      <t>タ</t>
    </rPh>
    <rPh sb="3" eb="5">
      <t>イリョウ</t>
    </rPh>
    <rPh sb="5" eb="7">
      <t>キキ</t>
    </rPh>
    <phoneticPr fontId="2"/>
  </si>
  <si>
    <t>理化学機器</t>
    <rPh sb="0" eb="3">
      <t>リカガク</t>
    </rPh>
    <rPh sb="3" eb="5">
      <t>キキ</t>
    </rPh>
    <phoneticPr fontId="2"/>
  </si>
  <si>
    <t>分析機器（光）</t>
    <rPh sb="0" eb="2">
      <t>ブンセキ</t>
    </rPh>
    <rPh sb="2" eb="4">
      <t>キキ</t>
    </rPh>
    <rPh sb="5" eb="6">
      <t>ヒカリ</t>
    </rPh>
    <phoneticPr fontId="2"/>
  </si>
  <si>
    <t>分析機器（その他）</t>
    <rPh sb="0" eb="2">
      <t>ブンセキ</t>
    </rPh>
    <rPh sb="2" eb="4">
      <t>キキ</t>
    </rPh>
    <rPh sb="7" eb="8">
      <t>タ</t>
    </rPh>
    <phoneticPr fontId="2"/>
  </si>
  <si>
    <t>電子顕微鏡</t>
    <rPh sb="0" eb="2">
      <t>デンシ</t>
    </rPh>
    <rPh sb="2" eb="5">
      <t>ケンビキョウ</t>
    </rPh>
    <phoneticPr fontId="2"/>
  </si>
  <si>
    <t>光学顕微鏡</t>
    <rPh sb="0" eb="2">
      <t>コウガク</t>
    </rPh>
    <rPh sb="2" eb="5">
      <t>ケンビキョウ</t>
    </rPh>
    <phoneticPr fontId="2"/>
  </si>
  <si>
    <t>レーザー顕微鏡</t>
    <rPh sb="4" eb="7">
      <t>ケンビキョウ</t>
    </rPh>
    <phoneticPr fontId="2"/>
  </si>
  <si>
    <t>工業用ファイバースコープ</t>
    <rPh sb="0" eb="3">
      <t>コウギョウヨウ</t>
    </rPh>
    <phoneticPr fontId="2"/>
  </si>
  <si>
    <t>実験機器</t>
    <rPh sb="0" eb="2">
      <t>ジッケン</t>
    </rPh>
    <rPh sb="2" eb="4">
      <t>キキ</t>
    </rPh>
    <phoneticPr fontId="2"/>
  </si>
  <si>
    <t>その他理化学機器</t>
    <rPh sb="2" eb="3">
      <t>タ</t>
    </rPh>
    <rPh sb="3" eb="6">
      <t>リカガク</t>
    </rPh>
    <rPh sb="6" eb="8">
      <t>キキ</t>
    </rPh>
    <phoneticPr fontId="2"/>
  </si>
  <si>
    <t>計測機器</t>
    <rPh sb="0" eb="2">
      <t>ケイソク</t>
    </rPh>
    <rPh sb="2" eb="4">
      <t>キキ</t>
    </rPh>
    <phoneticPr fontId="2"/>
  </si>
  <si>
    <t>気象用計測機器</t>
    <rPh sb="0" eb="3">
      <t>キショウヨウ</t>
    </rPh>
    <rPh sb="3" eb="5">
      <t>ケイソク</t>
    </rPh>
    <rPh sb="5" eb="7">
      <t>キキ</t>
    </rPh>
    <phoneticPr fontId="2"/>
  </si>
  <si>
    <t>測量用計測機器</t>
    <rPh sb="0" eb="3">
      <t>ソクリョウヨウ</t>
    </rPh>
    <rPh sb="3" eb="5">
      <t>ケイソク</t>
    </rPh>
    <rPh sb="5" eb="7">
      <t>キキ</t>
    </rPh>
    <phoneticPr fontId="2"/>
  </si>
  <si>
    <t>大気測定機器</t>
    <rPh sb="0" eb="2">
      <t>タイキ</t>
    </rPh>
    <rPh sb="2" eb="4">
      <t>ソクテイ</t>
    </rPh>
    <rPh sb="4" eb="6">
      <t>キキ</t>
    </rPh>
    <phoneticPr fontId="2"/>
  </si>
  <si>
    <t>水質測定機器</t>
    <rPh sb="0" eb="2">
      <t>スイシツ</t>
    </rPh>
    <rPh sb="2" eb="4">
      <t>ソクテイ</t>
    </rPh>
    <rPh sb="4" eb="6">
      <t>キキ</t>
    </rPh>
    <phoneticPr fontId="2"/>
  </si>
  <si>
    <t>振動・音響測定機器</t>
    <rPh sb="0" eb="2">
      <t>シンドウ</t>
    </rPh>
    <rPh sb="3" eb="5">
      <t>オンキョウ</t>
    </rPh>
    <rPh sb="5" eb="7">
      <t>ソクテイ</t>
    </rPh>
    <rPh sb="7" eb="9">
      <t>キキ</t>
    </rPh>
    <phoneticPr fontId="2"/>
  </si>
  <si>
    <t>放射線測定機器</t>
    <rPh sb="0" eb="3">
      <t>ホウシャセン</t>
    </rPh>
    <rPh sb="3" eb="5">
      <t>ソクテイ</t>
    </rPh>
    <rPh sb="5" eb="7">
      <t>キキ</t>
    </rPh>
    <phoneticPr fontId="2"/>
  </si>
  <si>
    <t>電気・磁気測定機器</t>
    <rPh sb="0" eb="2">
      <t>デンキ</t>
    </rPh>
    <rPh sb="3" eb="5">
      <t>ジキ</t>
    </rPh>
    <rPh sb="5" eb="7">
      <t>ソクテイ</t>
    </rPh>
    <rPh sb="7" eb="9">
      <t>キキ</t>
    </rPh>
    <phoneticPr fontId="2"/>
  </si>
  <si>
    <t>速度測定機器</t>
    <rPh sb="0" eb="2">
      <t>ソクド</t>
    </rPh>
    <rPh sb="2" eb="4">
      <t>ソクテイ</t>
    </rPh>
    <rPh sb="4" eb="6">
      <t>キキ</t>
    </rPh>
    <phoneticPr fontId="2"/>
  </si>
  <si>
    <t>超音波測定機器</t>
    <rPh sb="0" eb="3">
      <t>チョウオンパ</t>
    </rPh>
    <rPh sb="3" eb="5">
      <t>ソクテイ</t>
    </rPh>
    <rPh sb="5" eb="7">
      <t>キキ</t>
    </rPh>
    <phoneticPr fontId="2"/>
  </si>
  <si>
    <t>その他測定機器</t>
    <rPh sb="2" eb="3">
      <t>タ</t>
    </rPh>
    <rPh sb="3" eb="5">
      <t>ソクテイ</t>
    </rPh>
    <rPh sb="5" eb="7">
      <t>キキ</t>
    </rPh>
    <phoneticPr fontId="2"/>
  </si>
  <si>
    <t>光学写真機</t>
    <rPh sb="0" eb="2">
      <t>コウガク</t>
    </rPh>
    <rPh sb="2" eb="5">
      <t>シャシンキ</t>
    </rPh>
    <phoneticPr fontId="2"/>
  </si>
  <si>
    <t>デジタル写真機</t>
    <rPh sb="4" eb="7">
      <t>シャシンキ</t>
    </rPh>
    <phoneticPr fontId="2"/>
  </si>
  <si>
    <t>写真現像・プリント機器</t>
    <rPh sb="0" eb="2">
      <t>シャシン</t>
    </rPh>
    <rPh sb="2" eb="4">
      <t>ゲンゾウ</t>
    </rPh>
    <rPh sb="9" eb="11">
      <t>キキ</t>
    </rPh>
    <phoneticPr fontId="2"/>
  </si>
  <si>
    <t>撮影機</t>
    <rPh sb="0" eb="3">
      <t>サツエイキ</t>
    </rPh>
    <phoneticPr fontId="2"/>
  </si>
  <si>
    <t>写真フィルム</t>
    <rPh sb="0" eb="2">
      <t>シャシン</t>
    </rPh>
    <phoneticPr fontId="2"/>
  </si>
  <si>
    <t>その他写真機器</t>
    <rPh sb="2" eb="3">
      <t>タ</t>
    </rPh>
    <rPh sb="3" eb="5">
      <t>シャシン</t>
    </rPh>
    <rPh sb="5" eb="7">
      <t>キキ</t>
    </rPh>
    <phoneticPr fontId="2"/>
  </si>
  <si>
    <t>厨房機器</t>
    <rPh sb="0" eb="2">
      <t>チュウボウ</t>
    </rPh>
    <rPh sb="2" eb="4">
      <t>キキ</t>
    </rPh>
    <phoneticPr fontId="2"/>
  </si>
  <si>
    <t>厨房用調理器</t>
    <rPh sb="0" eb="2">
      <t>チュウボウ</t>
    </rPh>
    <rPh sb="2" eb="3">
      <t>ヨウ</t>
    </rPh>
    <rPh sb="3" eb="6">
      <t>チョウリキ</t>
    </rPh>
    <phoneticPr fontId="2"/>
  </si>
  <si>
    <t>調理（実習）台</t>
    <rPh sb="0" eb="2">
      <t>チョウリ</t>
    </rPh>
    <rPh sb="3" eb="5">
      <t>ジッシュウ</t>
    </rPh>
    <rPh sb="6" eb="7">
      <t>ダイ</t>
    </rPh>
    <phoneticPr fontId="2"/>
  </si>
  <si>
    <t>厨房用洗浄機器</t>
    <rPh sb="0" eb="2">
      <t>チュウボウ</t>
    </rPh>
    <rPh sb="2" eb="3">
      <t>ヨウ</t>
    </rPh>
    <rPh sb="3" eb="5">
      <t>センジョウ</t>
    </rPh>
    <rPh sb="5" eb="7">
      <t>キキ</t>
    </rPh>
    <phoneticPr fontId="2"/>
  </si>
  <si>
    <t>厨房用消毒機器</t>
    <rPh sb="0" eb="2">
      <t>チュウボウ</t>
    </rPh>
    <rPh sb="2" eb="3">
      <t>ヨウ</t>
    </rPh>
    <rPh sb="3" eb="5">
      <t>ショウドク</t>
    </rPh>
    <rPh sb="5" eb="7">
      <t>キキ</t>
    </rPh>
    <phoneticPr fontId="2"/>
  </si>
  <si>
    <t>厨房用冷凍・冷蔵機器</t>
    <rPh sb="0" eb="2">
      <t>チュウボウ</t>
    </rPh>
    <rPh sb="2" eb="3">
      <t>ヨウ</t>
    </rPh>
    <rPh sb="3" eb="5">
      <t>レイトウ</t>
    </rPh>
    <rPh sb="6" eb="8">
      <t>レイゾウ</t>
    </rPh>
    <rPh sb="8" eb="10">
      <t>キキ</t>
    </rPh>
    <phoneticPr fontId="2"/>
  </si>
  <si>
    <t>厨房用給湯機器</t>
    <rPh sb="0" eb="2">
      <t>チュウボウ</t>
    </rPh>
    <rPh sb="2" eb="3">
      <t>ヨウ</t>
    </rPh>
    <rPh sb="3" eb="5">
      <t>キュウトウ</t>
    </rPh>
    <rPh sb="5" eb="7">
      <t>キキ</t>
    </rPh>
    <phoneticPr fontId="2"/>
  </si>
  <si>
    <t>その他厨房機器</t>
    <rPh sb="2" eb="3">
      <t>タ</t>
    </rPh>
    <rPh sb="3" eb="5">
      <t>チュウボウ</t>
    </rPh>
    <rPh sb="5" eb="7">
      <t>キキ</t>
    </rPh>
    <phoneticPr fontId="2"/>
  </si>
  <si>
    <t>建設機械・機器</t>
    <rPh sb="0" eb="2">
      <t>ケンセツ</t>
    </rPh>
    <rPh sb="2" eb="4">
      <t>キカイ</t>
    </rPh>
    <rPh sb="5" eb="7">
      <t>キキ</t>
    </rPh>
    <phoneticPr fontId="2"/>
  </si>
  <si>
    <t>除雪トラック</t>
    <rPh sb="0" eb="2">
      <t>ジョセツ</t>
    </rPh>
    <phoneticPr fontId="2"/>
  </si>
  <si>
    <t>凍結防止剤散布車</t>
    <rPh sb="0" eb="2">
      <t>トウケツ</t>
    </rPh>
    <rPh sb="2" eb="5">
      <t>ボウシザイ</t>
    </rPh>
    <rPh sb="5" eb="7">
      <t>サンプ</t>
    </rPh>
    <rPh sb="7" eb="8">
      <t>シャ</t>
    </rPh>
    <phoneticPr fontId="2"/>
  </si>
  <si>
    <t>凍結防止剤薬液供給装置等</t>
    <rPh sb="0" eb="2">
      <t>トウケツ</t>
    </rPh>
    <rPh sb="2" eb="5">
      <t>ボウシザイ</t>
    </rPh>
    <rPh sb="5" eb="7">
      <t>ヤクエキ</t>
    </rPh>
    <rPh sb="7" eb="9">
      <t>キョウキュウ</t>
    </rPh>
    <rPh sb="9" eb="11">
      <t>ソウチ</t>
    </rPh>
    <rPh sb="11" eb="12">
      <t>トウ</t>
    </rPh>
    <phoneticPr fontId="2"/>
  </si>
  <si>
    <t>その他機械付属品</t>
    <rPh sb="2" eb="3">
      <t>タ</t>
    </rPh>
    <rPh sb="3" eb="5">
      <t>キカイ</t>
    </rPh>
    <rPh sb="5" eb="7">
      <t>フゾク</t>
    </rPh>
    <rPh sb="7" eb="8">
      <t>ヒン</t>
    </rPh>
    <phoneticPr fontId="2"/>
  </si>
  <si>
    <t>その他建設機械</t>
    <rPh sb="2" eb="3">
      <t>タ</t>
    </rPh>
    <rPh sb="3" eb="5">
      <t>ケンセツ</t>
    </rPh>
    <rPh sb="5" eb="7">
      <t>キカイ</t>
    </rPh>
    <phoneticPr fontId="2"/>
  </si>
  <si>
    <t>農業・畜産・水産機器</t>
    <rPh sb="0" eb="2">
      <t>ノウギョウ</t>
    </rPh>
    <rPh sb="3" eb="5">
      <t>チクサン</t>
    </rPh>
    <rPh sb="6" eb="8">
      <t>スイサン</t>
    </rPh>
    <rPh sb="8" eb="10">
      <t>キキ</t>
    </rPh>
    <phoneticPr fontId="2"/>
  </si>
  <si>
    <t>種子調整機器</t>
    <rPh sb="0" eb="2">
      <t>シュシ</t>
    </rPh>
    <rPh sb="2" eb="4">
      <t>チョウセイ</t>
    </rPh>
    <rPh sb="4" eb="6">
      <t>キキ</t>
    </rPh>
    <phoneticPr fontId="2"/>
  </si>
  <si>
    <t>漁網</t>
    <rPh sb="0" eb="2">
      <t>ギョモウ</t>
    </rPh>
    <phoneticPr fontId="2"/>
  </si>
  <si>
    <t>その他農畜水産機器</t>
    <rPh sb="2" eb="3">
      <t>タ</t>
    </rPh>
    <rPh sb="3" eb="5">
      <t>ノウチク</t>
    </rPh>
    <rPh sb="5" eb="7">
      <t>スイサン</t>
    </rPh>
    <rPh sb="7" eb="9">
      <t>キキ</t>
    </rPh>
    <phoneticPr fontId="2"/>
  </si>
  <si>
    <t>工作機器</t>
    <rPh sb="0" eb="2">
      <t>コウサク</t>
    </rPh>
    <rPh sb="2" eb="4">
      <t>キキ</t>
    </rPh>
    <phoneticPr fontId="2"/>
  </si>
  <si>
    <t>旋盤</t>
    <rPh sb="0" eb="2">
      <t>センバン</t>
    </rPh>
    <phoneticPr fontId="2"/>
  </si>
  <si>
    <t>ＮＣ旋盤</t>
    <rPh sb="2" eb="4">
      <t>センバン</t>
    </rPh>
    <phoneticPr fontId="2"/>
  </si>
  <si>
    <t>フライス盤</t>
    <rPh sb="4" eb="5">
      <t>バン</t>
    </rPh>
    <phoneticPr fontId="2"/>
  </si>
  <si>
    <t>研削機</t>
    <rPh sb="0" eb="2">
      <t>ケンサク</t>
    </rPh>
    <rPh sb="2" eb="3">
      <t>キ</t>
    </rPh>
    <phoneticPr fontId="2"/>
  </si>
  <si>
    <t>ボール盤</t>
    <rPh sb="3" eb="4">
      <t>バン</t>
    </rPh>
    <phoneticPr fontId="2"/>
  </si>
  <si>
    <t>切断機</t>
    <rPh sb="0" eb="3">
      <t>セツダンキ</t>
    </rPh>
    <phoneticPr fontId="2"/>
  </si>
  <si>
    <t>作業工具</t>
    <rPh sb="0" eb="2">
      <t>サギョウ</t>
    </rPh>
    <rPh sb="2" eb="4">
      <t>コウグ</t>
    </rPh>
    <phoneticPr fontId="2"/>
  </si>
  <si>
    <t>その他工作機器</t>
    <rPh sb="2" eb="3">
      <t>タ</t>
    </rPh>
    <rPh sb="3" eb="5">
      <t>コウサク</t>
    </rPh>
    <rPh sb="5" eb="7">
      <t>キキ</t>
    </rPh>
    <phoneticPr fontId="2"/>
  </si>
  <si>
    <t>冷暖房・空調機器</t>
    <rPh sb="0" eb="3">
      <t>レイダンボウ</t>
    </rPh>
    <rPh sb="4" eb="6">
      <t>クウチョウ</t>
    </rPh>
    <rPh sb="6" eb="8">
      <t>キキ</t>
    </rPh>
    <phoneticPr fontId="2"/>
  </si>
  <si>
    <t>ポット式ストーブ</t>
    <rPh sb="3" eb="4">
      <t>シキ</t>
    </rPh>
    <phoneticPr fontId="2"/>
  </si>
  <si>
    <t>その他冷暖房空調機器</t>
    <rPh sb="2" eb="3">
      <t>タ</t>
    </rPh>
    <rPh sb="3" eb="6">
      <t>レイダンボウ</t>
    </rPh>
    <rPh sb="6" eb="8">
      <t>クウチョウ</t>
    </rPh>
    <rPh sb="8" eb="10">
      <t>キキ</t>
    </rPh>
    <phoneticPr fontId="2"/>
  </si>
  <si>
    <t>その他産業・業務用機器</t>
    <rPh sb="2" eb="3">
      <t>タ</t>
    </rPh>
    <rPh sb="3" eb="5">
      <t>サンギョウ</t>
    </rPh>
    <rPh sb="6" eb="9">
      <t>ギョウムヨウ</t>
    </rPh>
    <rPh sb="9" eb="11">
      <t>キキ</t>
    </rPh>
    <phoneticPr fontId="2"/>
  </si>
  <si>
    <t>繊維・染色用機器</t>
    <rPh sb="0" eb="2">
      <t>センイ</t>
    </rPh>
    <rPh sb="3" eb="6">
      <t>センショクヨウ</t>
    </rPh>
    <rPh sb="6" eb="8">
      <t>キキ</t>
    </rPh>
    <phoneticPr fontId="2"/>
  </si>
  <si>
    <t>発券機</t>
    <rPh sb="0" eb="3">
      <t>ハッケンキ</t>
    </rPh>
    <phoneticPr fontId="2"/>
  </si>
  <si>
    <t>（事務機・家電を除く）</t>
    <rPh sb="1" eb="4">
      <t>ジムキ</t>
    </rPh>
    <rPh sb="5" eb="7">
      <t>カデン</t>
    </rPh>
    <rPh sb="8" eb="9">
      <t>ノゾ</t>
    </rPh>
    <phoneticPr fontId="2"/>
  </si>
  <si>
    <t>冷凍・冷蔵機器</t>
    <rPh sb="0" eb="2">
      <t>レイトウ</t>
    </rPh>
    <rPh sb="3" eb="5">
      <t>レイゾウ</t>
    </rPh>
    <rPh sb="5" eb="7">
      <t>キキ</t>
    </rPh>
    <phoneticPr fontId="2"/>
  </si>
  <si>
    <t>高所作業車</t>
    <rPh sb="0" eb="2">
      <t>コウショ</t>
    </rPh>
    <rPh sb="2" eb="5">
      <t>サギョウシャ</t>
    </rPh>
    <phoneticPr fontId="2"/>
  </si>
  <si>
    <t>印刷・製本機器</t>
    <rPh sb="0" eb="2">
      <t>インサツ</t>
    </rPh>
    <rPh sb="3" eb="5">
      <t>セイホン</t>
    </rPh>
    <rPh sb="5" eb="7">
      <t>キキ</t>
    </rPh>
    <phoneticPr fontId="2"/>
  </si>
  <si>
    <t>薬品・肥飼料・資材類</t>
    <rPh sb="0" eb="2">
      <t>ヤクヒン</t>
    </rPh>
    <rPh sb="3" eb="4">
      <t>コエ</t>
    </rPh>
    <rPh sb="4" eb="6">
      <t>シリョウ</t>
    </rPh>
    <rPh sb="7" eb="9">
      <t>シザイ</t>
    </rPh>
    <rPh sb="9" eb="10">
      <t>ルイ</t>
    </rPh>
    <phoneticPr fontId="2"/>
  </si>
  <si>
    <t>医薬品・診療材料類</t>
    <rPh sb="0" eb="3">
      <t>イヤクヒン</t>
    </rPh>
    <rPh sb="4" eb="6">
      <t>シンリョウ</t>
    </rPh>
    <rPh sb="6" eb="8">
      <t>ザイリョウ</t>
    </rPh>
    <rPh sb="8" eb="9">
      <t>ルイ</t>
    </rPh>
    <phoneticPr fontId="2"/>
  </si>
  <si>
    <t>医薬品（人体）</t>
    <rPh sb="0" eb="3">
      <t>イヤクヒン</t>
    </rPh>
    <rPh sb="4" eb="6">
      <t>ジンタイ</t>
    </rPh>
    <phoneticPr fontId="2"/>
  </si>
  <si>
    <t>医薬品（動物）</t>
    <rPh sb="0" eb="3">
      <t>イヤクヒン</t>
    </rPh>
    <rPh sb="4" eb="6">
      <t>ドウブツ</t>
    </rPh>
    <phoneticPr fontId="2"/>
  </si>
  <si>
    <t>医療用酸素・ガス</t>
    <rPh sb="0" eb="3">
      <t>イリョウヨウ</t>
    </rPh>
    <rPh sb="3" eb="5">
      <t>サンソ</t>
    </rPh>
    <phoneticPr fontId="2"/>
  </si>
  <si>
    <t>診療材料</t>
    <rPh sb="0" eb="2">
      <t>シンリョウ</t>
    </rPh>
    <rPh sb="2" eb="4">
      <t>ザイリョウ</t>
    </rPh>
    <phoneticPr fontId="2"/>
  </si>
  <si>
    <t>培地</t>
    <rPh sb="0" eb="2">
      <t>バイチ</t>
    </rPh>
    <phoneticPr fontId="2"/>
  </si>
  <si>
    <t>医療検査試薬</t>
    <rPh sb="0" eb="2">
      <t>イリョウ</t>
    </rPh>
    <rPh sb="2" eb="4">
      <t>ケンサ</t>
    </rPh>
    <rPh sb="4" eb="6">
      <t>シヤク</t>
    </rPh>
    <phoneticPr fontId="2"/>
  </si>
  <si>
    <t>Ｘ線フィルム</t>
    <rPh sb="1" eb="2">
      <t>セン</t>
    </rPh>
    <phoneticPr fontId="2"/>
  </si>
  <si>
    <t>衛生用品</t>
    <rPh sb="0" eb="2">
      <t>エイセイ</t>
    </rPh>
    <rPh sb="2" eb="4">
      <t>ヨウヒン</t>
    </rPh>
    <phoneticPr fontId="2"/>
  </si>
  <si>
    <t>介護用品</t>
    <rPh sb="0" eb="2">
      <t>カイゴ</t>
    </rPh>
    <rPh sb="2" eb="4">
      <t>ヨウヒン</t>
    </rPh>
    <phoneticPr fontId="2"/>
  </si>
  <si>
    <t>その他薬品・診療材料</t>
    <rPh sb="2" eb="3">
      <t>タ</t>
    </rPh>
    <rPh sb="3" eb="5">
      <t>ヤクヒン</t>
    </rPh>
    <rPh sb="6" eb="8">
      <t>シンリョウ</t>
    </rPh>
    <rPh sb="8" eb="10">
      <t>ザイリョウ</t>
    </rPh>
    <phoneticPr fontId="2"/>
  </si>
  <si>
    <t>農薬</t>
    <rPh sb="0" eb="2">
      <t>ノウヤク</t>
    </rPh>
    <phoneticPr fontId="2"/>
  </si>
  <si>
    <t>除草剤</t>
    <rPh sb="0" eb="3">
      <t>ジョソウザイ</t>
    </rPh>
    <phoneticPr fontId="2"/>
  </si>
  <si>
    <t>肥料</t>
    <rPh sb="0" eb="2">
      <t>ヒリョウ</t>
    </rPh>
    <phoneticPr fontId="2"/>
  </si>
  <si>
    <t>飼料</t>
    <rPh sb="0" eb="2">
      <t>シリョウ</t>
    </rPh>
    <phoneticPr fontId="2"/>
  </si>
  <si>
    <t>農業用消耗資材</t>
    <rPh sb="0" eb="2">
      <t>ノウギョウ</t>
    </rPh>
    <rPh sb="2" eb="3">
      <t>ヨウ</t>
    </rPh>
    <rPh sb="3" eb="5">
      <t>ショウモウ</t>
    </rPh>
    <rPh sb="5" eb="7">
      <t>シザイ</t>
    </rPh>
    <phoneticPr fontId="2"/>
  </si>
  <si>
    <t>種苗</t>
    <rPh sb="0" eb="2">
      <t>シュビョウ</t>
    </rPh>
    <phoneticPr fontId="2"/>
  </si>
  <si>
    <t>その他農業用品</t>
    <rPh sb="2" eb="3">
      <t>タ</t>
    </rPh>
    <rPh sb="3" eb="5">
      <t>ノウギョウ</t>
    </rPh>
    <rPh sb="5" eb="7">
      <t>ヨウヒン</t>
    </rPh>
    <phoneticPr fontId="2"/>
  </si>
  <si>
    <t>実験・分析用化学薬品</t>
    <rPh sb="0" eb="2">
      <t>ジッケン</t>
    </rPh>
    <rPh sb="3" eb="5">
      <t>ブンセキ</t>
    </rPh>
    <rPh sb="5" eb="6">
      <t>ヨウ</t>
    </rPh>
    <rPh sb="6" eb="8">
      <t>カガク</t>
    </rPh>
    <rPh sb="8" eb="10">
      <t>ヤクヒン</t>
    </rPh>
    <phoneticPr fontId="2"/>
  </si>
  <si>
    <t>施設・機械用化学薬品</t>
    <rPh sb="0" eb="2">
      <t>シセツ</t>
    </rPh>
    <rPh sb="3" eb="5">
      <t>キカイ</t>
    </rPh>
    <rPh sb="5" eb="6">
      <t>ヨウ</t>
    </rPh>
    <rPh sb="6" eb="8">
      <t>カガク</t>
    </rPh>
    <rPh sb="8" eb="10">
      <t>ヤクヒン</t>
    </rPh>
    <phoneticPr fontId="2"/>
  </si>
  <si>
    <t>防じん剤</t>
    <rPh sb="0" eb="1">
      <t>ボウ</t>
    </rPh>
    <rPh sb="3" eb="4">
      <t>ザイ</t>
    </rPh>
    <phoneticPr fontId="2"/>
  </si>
  <si>
    <t>道路凍結防止剤</t>
    <rPh sb="0" eb="2">
      <t>ドウロ</t>
    </rPh>
    <rPh sb="2" eb="4">
      <t>トウケツ</t>
    </rPh>
    <rPh sb="4" eb="7">
      <t>ボウシザイ</t>
    </rPh>
    <phoneticPr fontId="2"/>
  </si>
  <si>
    <t>その他工業薬品等</t>
    <rPh sb="2" eb="3">
      <t>タ</t>
    </rPh>
    <rPh sb="3" eb="5">
      <t>コウギョウ</t>
    </rPh>
    <rPh sb="5" eb="7">
      <t>ヤクヒン</t>
    </rPh>
    <rPh sb="7" eb="8">
      <t>トウ</t>
    </rPh>
    <phoneticPr fontId="2"/>
  </si>
  <si>
    <t>車両</t>
    <rPh sb="0" eb="2">
      <t>シャリョウ</t>
    </rPh>
    <phoneticPr fontId="2"/>
  </si>
  <si>
    <t>乗用車・ライトバン</t>
    <rPh sb="0" eb="3">
      <t>ジョウヨウシャ</t>
    </rPh>
    <phoneticPr fontId="2"/>
  </si>
  <si>
    <t>軽自動車</t>
    <rPh sb="0" eb="1">
      <t>ケイ</t>
    </rPh>
    <rPh sb="1" eb="4">
      <t>ジドウシャ</t>
    </rPh>
    <phoneticPr fontId="2"/>
  </si>
  <si>
    <t>警察架装車両</t>
    <rPh sb="0" eb="2">
      <t>ケイサツ</t>
    </rPh>
    <rPh sb="2" eb="3">
      <t>カ</t>
    </rPh>
    <rPh sb="3" eb="4">
      <t>ソウ</t>
    </rPh>
    <rPh sb="4" eb="6">
      <t>シャリョウ</t>
    </rPh>
    <phoneticPr fontId="2"/>
  </si>
  <si>
    <t>消防車・救急車</t>
    <rPh sb="0" eb="3">
      <t>ショウボウシャ</t>
    </rPh>
    <rPh sb="4" eb="7">
      <t>キュウキュウシャ</t>
    </rPh>
    <phoneticPr fontId="2"/>
  </si>
  <si>
    <t>その他架装車両</t>
    <rPh sb="2" eb="3">
      <t>タ</t>
    </rPh>
    <rPh sb="3" eb="4">
      <t>カ</t>
    </rPh>
    <rPh sb="4" eb="5">
      <t>ソウ</t>
    </rPh>
    <rPh sb="5" eb="7">
      <t>シャリョウ</t>
    </rPh>
    <phoneticPr fontId="2"/>
  </si>
  <si>
    <t>白バイ</t>
    <rPh sb="0" eb="1">
      <t>シロ</t>
    </rPh>
    <phoneticPr fontId="2"/>
  </si>
  <si>
    <t>自動二輪・原付</t>
    <rPh sb="0" eb="2">
      <t>ジドウ</t>
    </rPh>
    <rPh sb="2" eb="4">
      <t>ニリン</t>
    </rPh>
    <rPh sb="5" eb="7">
      <t>ゲンツキ</t>
    </rPh>
    <phoneticPr fontId="2"/>
  </si>
  <si>
    <t>自転車</t>
    <rPh sb="0" eb="3">
      <t>ジテンシャ</t>
    </rPh>
    <phoneticPr fontId="2"/>
  </si>
  <si>
    <t>その他車両</t>
    <rPh sb="2" eb="3">
      <t>タ</t>
    </rPh>
    <rPh sb="3" eb="5">
      <t>シャリョウ</t>
    </rPh>
    <phoneticPr fontId="2"/>
  </si>
  <si>
    <t>船舶</t>
    <rPh sb="0" eb="2">
      <t>センパク</t>
    </rPh>
    <phoneticPr fontId="2"/>
  </si>
  <si>
    <t>小型船舶</t>
    <rPh sb="0" eb="2">
      <t>コガタ</t>
    </rPh>
    <rPh sb="2" eb="4">
      <t>センパク</t>
    </rPh>
    <phoneticPr fontId="2"/>
  </si>
  <si>
    <t>競技用ボート</t>
    <rPh sb="0" eb="3">
      <t>キョウギヨウ</t>
    </rPh>
    <phoneticPr fontId="2"/>
  </si>
  <si>
    <t>救命用ゴムボート</t>
    <rPh sb="0" eb="2">
      <t>キュウメイ</t>
    </rPh>
    <rPh sb="2" eb="3">
      <t>ヨウ</t>
    </rPh>
    <phoneticPr fontId="2"/>
  </si>
  <si>
    <t>その他船舶</t>
    <rPh sb="2" eb="3">
      <t>タ</t>
    </rPh>
    <rPh sb="3" eb="5">
      <t>センパク</t>
    </rPh>
    <phoneticPr fontId="2"/>
  </si>
  <si>
    <t>車両タイヤ</t>
    <rPh sb="0" eb="2">
      <t>シャリョウ</t>
    </rPh>
    <phoneticPr fontId="2"/>
  </si>
  <si>
    <t>車両部品・電装品</t>
    <rPh sb="0" eb="2">
      <t>シャリョウ</t>
    </rPh>
    <rPh sb="2" eb="4">
      <t>ブヒン</t>
    </rPh>
    <rPh sb="5" eb="7">
      <t>デンソウ</t>
    </rPh>
    <rPh sb="7" eb="8">
      <t>シナ</t>
    </rPh>
    <phoneticPr fontId="2"/>
  </si>
  <si>
    <t>船外機</t>
    <rPh sb="0" eb="3">
      <t>センガイキ</t>
    </rPh>
    <phoneticPr fontId="2"/>
  </si>
  <si>
    <t>船舶装備品</t>
    <rPh sb="0" eb="2">
      <t>センパク</t>
    </rPh>
    <rPh sb="2" eb="5">
      <t>ソウビヒン</t>
    </rPh>
    <phoneticPr fontId="2"/>
  </si>
  <si>
    <t>その他車両・船舶装備品</t>
    <rPh sb="2" eb="3">
      <t>タ</t>
    </rPh>
    <rPh sb="3" eb="5">
      <t>シャリョウ</t>
    </rPh>
    <rPh sb="6" eb="8">
      <t>センパク</t>
    </rPh>
    <rPh sb="8" eb="11">
      <t>ソウビヒン</t>
    </rPh>
    <phoneticPr fontId="2"/>
  </si>
  <si>
    <t>軽油</t>
    <rPh sb="0" eb="2">
      <t>ケイユ</t>
    </rPh>
    <phoneticPr fontId="2"/>
  </si>
  <si>
    <t>重油</t>
    <rPh sb="0" eb="2">
      <t>ジュウユ</t>
    </rPh>
    <phoneticPr fontId="2"/>
  </si>
  <si>
    <t>灯油</t>
    <rPh sb="0" eb="2">
      <t>トウユ</t>
    </rPh>
    <phoneticPr fontId="2"/>
  </si>
  <si>
    <t>船舶燃料（バージ）</t>
    <rPh sb="0" eb="2">
      <t>センパク</t>
    </rPh>
    <rPh sb="2" eb="4">
      <t>ネンリョウ</t>
    </rPh>
    <phoneticPr fontId="2"/>
  </si>
  <si>
    <t>航空燃料</t>
    <rPh sb="0" eb="2">
      <t>コウクウ</t>
    </rPh>
    <rPh sb="2" eb="4">
      <t>ネンリョウ</t>
    </rPh>
    <phoneticPr fontId="2"/>
  </si>
  <si>
    <t>潤滑油</t>
    <rPh sb="0" eb="3">
      <t>ジュンカツユ</t>
    </rPh>
    <phoneticPr fontId="2"/>
  </si>
  <si>
    <t>その他燃料・油脂</t>
    <rPh sb="2" eb="3">
      <t>タ</t>
    </rPh>
    <rPh sb="3" eb="5">
      <t>ネンリョウ</t>
    </rPh>
    <rPh sb="6" eb="8">
      <t>ユシ</t>
    </rPh>
    <phoneticPr fontId="2"/>
  </si>
  <si>
    <t>工事用材料類</t>
    <rPh sb="0" eb="3">
      <t>コウジヨウ</t>
    </rPh>
    <rPh sb="3" eb="5">
      <t>ザイリョウ</t>
    </rPh>
    <rPh sb="5" eb="6">
      <t>ルイ</t>
    </rPh>
    <phoneticPr fontId="2"/>
  </si>
  <si>
    <t>鉄鋼、非鉄、鋳鉄類</t>
    <rPh sb="0" eb="2">
      <t>テッコウ</t>
    </rPh>
    <rPh sb="3" eb="5">
      <t>ヒテツ</t>
    </rPh>
    <rPh sb="6" eb="8">
      <t>チュウテツ</t>
    </rPh>
    <rPh sb="8" eb="9">
      <t>ルイ</t>
    </rPh>
    <phoneticPr fontId="2"/>
  </si>
  <si>
    <t>鋼材</t>
    <rPh sb="0" eb="2">
      <t>コウザイ</t>
    </rPh>
    <phoneticPr fontId="2"/>
  </si>
  <si>
    <t>鋼矢板</t>
    <rPh sb="0" eb="1">
      <t>コウ</t>
    </rPh>
    <rPh sb="1" eb="3">
      <t>ヤイタ</t>
    </rPh>
    <phoneticPr fontId="2"/>
  </si>
  <si>
    <t>金網</t>
    <rPh sb="0" eb="2">
      <t>カナアミ</t>
    </rPh>
    <phoneticPr fontId="2"/>
  </si>
  <si>
    <t>鋼管</t>
    <rPh sb="0" eb="2">
      <t>コウカン</t>
    </rPh>
    <phoneticPr fontId="2"/>
  </si>
  <si>
    <t>アルミ製品</t>
    <rPh sb="3" eb="5">
      <t>セイヒン</t>
    </rPh>
    <phoneticPr fontId="2"/>
  </si>
  <si>
    <t>その他鉄鋼、非鉄、鋳鉄類</t>
    <rPh sb="2" eb="3">
      <t>タ</t>
    </rPh>
    <rPh sb="3" eb="5">
      <t>テッコウ</t>
    </rPh>
    <rPh sb="6" eb="8">
      <t>ヒテツ</t>
    </rPh>
    <rPh sb="9" eb="11">
      <t>チュウテツ</t>
    </rPh>
    <rPh sb="11" eb="12">
      <t>ルイ</t>
    </rPh>
    <phoneticPr fontId="2"/>
  </si>
  <si>
    <t>生コンクリート</t>
    <rPh sb="0" eb="1">
      <t>ナマ</t>
    </rPh>
    <phoneticPr fontId="2"/>
  </si>
  <si>
    <t>アスファルト混合物</t>
    <rPh sb="6" eb="8">
      <t>コンゴウ</t>
    </rPh>
    <rPh sb="8" eb="9">
      <t>ブツ</t>
    </rPh>
    <phoneticPr fontId="2"/>
  </si>
  <si>
    <t>常温合材</t>
    <rPh sb="0" eb="2">
      <t>ジョウオン</t>
    </rPh>
    <rPh sb="2" eb="3">
      <t>ゴウ</t>
    </rPh>
    <rPh sb="3" eb="4">
      <t>ザイ</t>
    </rPh>
    <phoneticPr fontId="2"/>
  </si>
  <si>
    <t>砕石</t>
    <rPh sb="0" eb="2">
      <t>サイセキ</t>
    </rPh>
    <phoneticPr fontId="2"/>
  </si>
  <si>
    <t>砂利、砂、石粉</t>
    <rPh sb="0" eb="2">
      <t>ジャリ</t>
    </rPh>
    <rPh sb="3" eb="4">
      <t>スナ</t>
    </rPh>
    <rPh sb="5" eb="6">
      <t>イシ</t>
    </rPh>
    <rPh sb="6" eb="7">
      <t>コナ</t>
    </rPh>
    <phoneticPr fontId="2"/>
  </si>
  <si>
    <t>コンクリート二次製品</t>
    <rPh sb="6" eb="8">
      <t>ニジ</t>
    </rPh>
    <rPh sb="8" eb="10">
      <t>セイヒン</t>
    </rPh>
    <phoneticPr fontId="2"/>
  </si>
  <si>
    <t>煉瓦</t>
    <rPh sb="0" eb="2">
      <t>レンガ</t>
    </rPh>
    <phoneticPr fontId="2"/>
  </si>
  <si>
    <t>その他資材</t>
    <rPh sb="2" eb="3">
      <t>タ</t>
    </rPh>
    <rPh sb="3" eb="5">
      <t>シザイ</t>
    </rPh>
    <phoneticPr fontId="2"/>
  </si>
  <si>
    <t>道路標識類</t>
    <rPh sb="0" eb="2">
      <t>ドウロ</t>
    </rPh>
    <rPh sb="2" eb="4">
      <t>ヒョウシキ</t>
    </rPh>
    <rPh sb="4" eb="5">
      <t>ルイ</t>
    </rPh>
    <phoneticPr fontId="2"/>
  </si>
  <si>
    <t>道路標識・案内板</t>
    <rPh sb="0" eb="2">
      <t>ドウロ</t>
    </rPh>
    <rPh sb="2" eb="4">
      <t>ヒョウシキ</t>
    </rPh>
    <rPh sb="5" eb="7">
      <t>アンナイ</t>
    </rPh>
    <rPh sb="7" eb="8">
      <t>バン</t>
    </rPh>
    <phoneticPr fontId="2"/>
  </si>
  <si>
    <t>電照式標識</t>
    <rPh sb="0" eb="1">
      <t>デン</t>
    </rPh>
    <rPh sb="1" eb="2">
      <t>テ</t>
    </rPh>
    <rPh sb="2" eb="3">
      <t>シキ</t>
    </rPh>
    <rPh sb="3" eb="5">
      <t>ヒョウシキ</t>
    </rPh>
    <phoneticPr fontId="2"/>
  </si>
  <si>
    <t>その他標識類</t>
    <rPh sb="2" eb="3">
      <t>タ</t>
    </rPh>
    <rPh sb="3" eb="5">
      <t>ヒョウシキ</t>
    </rPh>
    <rPh sb="5" eb="6">
      <t>ルイ</t>
    </rPh>
    <phoneticPr fontId="2"/>
  </si>
  <si>
    <t>諸材料類</t>
    <rPh sb="0" eb="1">
      <t>ショ</t>
    </rPh>
    <rPh sb="1" eb="3">
      <t>ザイリョウ</t>
    </rPh>
    <rPh sb="3" eb="4">
      <t>ルイ</t>
    </rPh>
    <phoneticPr fontId="2"/>
  </si>
  <si>
    <t>木材</t>
    <rPh sb="0" eb="2">
      <t>モクザイ</t>
    </rPh>
    <phoneticPr fontId="2"/>
  </si>
  <si>
    <t>塗料</t>
    <rPh sb="0" eb="2">
      <t>トリョウ</t>
    </rPh>
    <phoneticPr fontId="2"/>
  </si>
  <si>
    <t>建具</t>
    <rPh sb="0" eb="2">
      <t>タテグ</t>
    </rPh>
    <phoneticPr fontId="2"/>
  </si>
  <si>
    <t>水道用品</t>
    <rPh sb="0" eb="2">
      <t>スイドウ</t>
    </rPh>
    <rPh sb="2" eb="4">
      <t>ヨウヒン</t>
    </rPh>
    <phoneticPr fontId="2"/>
  </si>
  <si>
    <t>架線材料</t>
    <rPh sb="0" eb="2">
      <t>カセン</t>
    </rPh>
    <rPh sb="2" eb="4">
      <t>ザイリョウ</t>
    </rPh>
    <phoneticPr fontId="2"/>
  </si>
  <si>
    <t>絶縁材料</t>
    <rPh sb="0" eb="2">
      <t>ゼツエン</t>
    </rPh>
    <rPh sb="2" eb="4">
      <t>ザイリョウ</t>
    </rPh>
    <phoneticPr fontId="2"/>
  </si>
  <si>
    <t>造園資材</t>
    <rPh sb="0" eb="2">
      <t>ゾウエン</t>
    </rPh>
    <rPh sb="2" eb="4">
      <t>シザイ</t>
    </rPh>
    <phoneticPr fontId="2"/>
  </si>
  <si>
    <t>樹木</t>
    <rPh sb="0" eb="2">
      <t>ジュモク</t>
    </rPh>
    <phoneticPr fontId="2"/>
  </si>
  <si>
    <t>その他諸材料</t>
    <rPh sb="2" eb="3">
      <t>タ</t>
    </rPh>
    <rPh sb="3" eb="4">
      <t>ショ</t>
    </rPh>
    <rPh sb="4" eb="6">
      <t>ザイリョウ</t>
    </rPh>
    <phoneticPr fontId="2"/>
  </si>
  <si>
    <t>災害関係資材</t>
    <rPh sb="0" eb="2">
      <t>サイガイ</t>
    </rPh>
    <rPh sb="2" eb="4">
      <t>カンケイ</t>
    </rPh>
    <rPh sb="4" eb="6">
      <t>シザイ</t>
    </rPh>
    <phoneticPr fontId="2"/>
  </si>
  <si>
    <t>麻袋</t>
    <rPh sb="0" eb="1">
      <t>アサ</t>
    </rPh>
    <rPh sb="1" eb="2">
      <t>フクロ</t>
    </rPh>
    <phoneticPr fontId="2"/>
  </si>
  <si>
    <t>杭</t>
    <rPh sb="0" eb="1">
      <t>クイ</t>
    </rPh>
    <phoneticPr fontId="2"/>
  </si>
  <si>
    <t>その他</t>
    <rPh sb="2" eb="3">
      <t>タ</t>
    </rPh>
    <phoneticPr fontId="2"/>
  </si>
  <si>
    <t>楽器</t>
    <rPh sb="0" eb="2">
      <t>ガッキ</t>
    </rPh>
    <phoneticPr fontId="2"/>
  </si>
  <si>
    <t>その他楽器</t>
    <rPh sb="2" eb="3">
      <t>タ</t>
    </rPh>
    <rPh sb="3" eb="5">
      <t>ガッキ</t>
    </rPh>
    <phoneticPr fontId="2"/>
  </si>
  <si>
    <t>その他音楽関係</t>
    <rPh sb="2" eb="3">
      <t>タ</t>
    </rPh>
    <rPh sb="3" eb="5">
      <t>オンガク</t>
    </rPh>
    <rPh sb="5" eb="7">
      <t>カンケイ</t>
    </rPh>
    <phoneticPr fontId="2"/>
  </si>
  <si>
    <t>運動具</t>
    <rPh sb="0" eb="2">
      <t>ウンドウ</t>
    </rPh>
    <rPh sb="2" eb="3">
      <t>グ</t>
    </rPh>
    <phoneticPr fontId="2"/>
  </si>
  <si>
    <t>競技用具</t>
    <rPh sb="0" eb="2">
      <t>キョウギ</t>
    </rPh>
    <rPh sb="2" eb="4">
      <t>ヨウグ</t>
    </rPh>
    <phoneticPr fontId="2"/>
  </si>
  <si>
    <t>武道具</t>
    <rPh sb="0" eb="2">
      <t>ブドウ</t>
    </rPh>
    <rPh sb="2" eb="3">
      <t>グ</t>
    </rPh>
    <phoneticPr fontId="2"/>
  </si>
  <si>
    <t>柔道用畳</t>
    <rPh sb="0" eb="2">
      <t>ジュウドウ</t>
    </rPh>
    <rPh sb="2" eb="3">
      <t>ヨウ</t>
    </rPh>
    <rPh sb="3" eb="4">
      <t>タタミ</t>
    </rPh>
    <phoneticPr fontId="2"/>
  </si>
  <si>
    <t>競技用記録計測機器</t>
    <rPh sb="0" eb="3">
      <t>キョウギヨウ</t>
    </rPh>
    <rPh sb="3" eb="5">
      <t>キロク</t>
    </rPh>
    <rPh sb="5" eb="7">
      <t>ケイソク</t>
    </rPh>
    <rPh sb="7" eb="9">
      <t>キキ</t>
    </rPh>
    <phoneticPr fontId="2"/>
  </si>
  <si>
    <t>記録表示機器</t>
    <rPh sb="0" eb="2">
      <t>キロク</t>
    </rPh>
    <rPh sb="2" eb="4">
      <t>ヒョウジ</t>
    </rPh>
    <rPh sb="4" eb="6">
      <t>キキ</t>
    </rPh>
    <phoneticPr fontId="2"/>
  </si>
  <si>
    <t>アウトドア用品</t>
    <rPh sb="5" eb="7">
      <t>ヨウヒン</t>
    </rPh>
    <phoneticPr fontId="2"/>
  </si>
  <si>
    <t>その他運動具</t>
    <rPh sb="2" eb="3">
      <t>タ</t>
    </rPh>
    <rPh sb="3" eb="5">
      <t>ウンドウ</t>
    </rPh>
    <rPh sb="5" eb="6">
      <t>グ</t>
    </rPh>
    <phoneticPr fontId="2"/>
  </si>
  <si>
    <t>書籍・出版物</t>
    <rPh sb="0" eb="2">
      <t>ショセキ</t>
    </rPh>
    <rPh sb="3" eb="5">
      <t>シュッパン</t>
    </rPh>
    <rPh sb="5" eb="6">
      <t>ブツ</t>
    </rPh>
    <phoneticPr fontId="2"/>
  </si>
  <si>
    <t>和書</t>
    <rPh sb="0" eb="2">
      <t>ワショ</t>
    </rPh>
    <phoneticPr fontId="2"/>
  </si>
  <si>
    <t>洋書</t>
    <rPh sb="0" eb="2">
      <t>ヨウショ</t>
    </rPh>
    <phoneticPr fontId="2"/>
  </si>
  <si>
    <t>その他出版物</t>
    <rPh sb="2" eb="3">
      <t>タ</t>
    </rPh>
    <rPh sb="3" eb="6">
      <t>シュッパンブツ</t>
    </rPh>
    <phoneticPr fontId="2"/>
  </si>
  <si>
    <t>食料品</t>
    <rPh sb="0" eb="3">
      <t>ショクリョウヒン</t>
    </rPh>
    <phoneticPr fontId="2"/>
  </si>
  <si>
    <t>留置人弁当</t>
    <rPh sb="0" eb="2">
      <t>リュウチ</t>
    </rPh>
    <rPh sb="2" eb="3">
      <t>ニン</t>
    </rPh>
    <rPh sb="3" eb="5">
      <t>ベントウ</t>
    </rPh>
    <phoneticPr fontId="2"/>
  </si>
  <si>
    <t>災害用保存食糧</t>
    <rPh sb="0" eb="2">
      <t>サイガイ</t>
    </rPh>
    <rPh sb="2" eb="3">
      <t>ヨウ</t>
    </rPh>
    <rPh sb="3" eb="5">
      <t>ホゾン</t>
    </rPh>
    <rPh sb="5" eb="7">
      <t>ショクリョウ</t>
    </rPh>
    <phoneticPr fontId="2"/>
  </si>
  <si>
    <t>（贈答用を除く）</t>
    <rPh sb="1" eb="3">
      <t>ゾウトウ</t>
    </rPh>
    <rPh sb="3" eb="4">
      <t>ヨウ</t>
    </rPh>
    <rPh sb="5" eb="6">
      <t>ノゾ</t>
    </rPh>
    <phoneticPr fontId="2"/>
  </si>
  <si>
    <t>その他食料品</t>
    <rPh sb="2" eb="3">
      <t>タ</t>
    </rPh>
    <rPh sb="3" eb="6">
      <t>ショクリョウヒン</t>
    </rPh>
    <phoneticPr fontId="2"/>
  </si>
  <si>
    <t>徽章</t>
    <rPh sb="0" eb="2">
      <t>キショウ</t>
    </rPh>
    <phoneticPr fontId="2"/>
  </si>
  <si>
    <t>贈答用工芸品</t>
    <rPh sb="0" eb="2">
      <t>ゾウトウ</t>
    </rPh>
    <rPh sb="2" eb="3">
      <t>ヨウ</t>
    </rPh>
    <rPh sb="3" eb="6">
      <t>コウゲイヒン</t>
    </rPh>
    <phoneticPr fontId="2"/>
  </si>
  <si>
    <t>贈答用食品</t>
    <rPh sb="0" eb="3">
      <t>ゾウトウヨウ</t>
    </rPh>
    <rPh sb="3" eb="5">
      <t>ショクヒン</t>
    </rPh>
    <phoneticPr fontId="2"/>
  </si>
  <si>
    <t>贈答用寝具・タオル類</t>
    <rPh sb="0" eb="3">
      <t>ゾウトウヨウ</t>
    </rPh>
    <rPh sb="3" eb="5">
      <t>シング</t>
    </rPh>
    <rPh sb="9" eb="10">
      <t>ルイ</t>
    </rPh>
    <phoneticPr fontId="2"/>
  </si>
  <si>
    <t>その他記念品・贈答品</t>
    <rPh sb="2" eb="3">
      <t>タ</t>
    </rPh>
    <rPh sb="3" eb="6">
      <t>キネンヒン</t>
    </rPh>
    <rPh sb="7" eb="10">
      <t>ゾウトウヒン</t>
    </rPh>
    <phoneticPr fontId="2"/>
  </si>
  <si>
    <t>被服・繊維・寝具</t>
    <rPh sb="0" eb="2">
      <t>ヒフク</t>
    </rPh>
    <rPh sb="3" eb="5">
      <t>センイ</t>
    </rPh>
    <rPh sb="6" eb="8">
      <t>シング</t>
    </rPh>
    <phoneticPr fontId="2"/>
  </si>
  <si>
    <t>作業服</t>
    <rPh sb="0" eb="3">
      <t>サギョウフク</t>
    </rPh>
    <phoneticPr fontId="2"/>
  </si>
  <si>
    <t>事務服</t>
    <rPh sb="0" eb="3">
      <t>ジムフク</t>
    </rPh>
    <phoneticPr fontId="2"/>
  </si>
  <si>
    <t>寝具</t>
    <rPh sb="0" eb="2">
      <t>シング</t>
    </rPh>
    <phoneticPr fontId="2"/>
  </si>
  <si>
    <t>（警察官用を除く）</t>
    <rPh sb="1" eb="4">
      <t>ケイサツカン</t>
    </rPh>
    <rPh sb="4" eb="5">
      <t>ヨウ</t>
    </rPh>
    <rPh sb="6" eb="7">
      <t>ノゾ</t>
    </rPh>
    <phoneticPr fontId="2"/>
  </si>
  <si>
    <t>その他被服・繊維</t>
    <rPh sb="2" eb="3">
      <t>タ</t>
    </rPh>
    <rPh sb="3" eb="5">
      <t>ヒフク</t>
    </rPh>
    <rPh sb="6" eb="8">
      <t>センイ</t>
    </rPh>
    <phoneticPr fontId="2"/>
  </si>
  <si>
    <t>靴・皮革・ゴム製品</t>
    <rPh sb="0" eb="1">
      <t>クツ</t>
    </rPh>
    <rPh sb="2" eb="4">
      <t>ヒカク</t>
    </rPh>
    <rPh sb="7" eb="9">
      <t>セイヒン</t>
    </rPh>
    <phoneticPr fontId="2"/>
  </si>
  <si>
    <t>靴（革）</t>
    <rPh sb="0" eb="1">
      <t>クツ</t>
    </rPh>
    <rPh sb="2" eb="3">
      <t>カワ</t>
    </rPh>
    <phoneticPr fontId="2"/>
  </si>
  <si>
    <t>靴（その他）</t>
    <rPh sb="0" eb="1">
      <t>クツ</t>
    </rPh>
    <rPh sb="4" eb="5">
      <t>タ</t>
    </rPh>
    <phoneticPr fontId="2"/>
  </si>
  <si>
    <t>安全靴</t>
    <rPh sb="0" eb="2">
      <t>アンゼン</t>
    </rPh>
    <rPh sb="2" eb="3">
      <t>クツ</t>
    </rPh>
    <phoneticPr fontId="2"/>
  </si>
  <si>
    <t>病院用シューズ</t>
    <rPh sb="0" eb="2">
      <t>ビョウイン</t>
    </rPh>
    <rPh sb="2" eb="3">
      <t>ヨウ</t>
    </rPh>
    <phoneticPr fontId="2"/>
  </si>
  <si>
    <t>その他革・ゴム製品</t>
    <rPh sb="2" eb="3">
      <t>タ</t>
    </rPh>
    <rPh sb="3" eb="4">
      <t>カワ</t>
    </rPh>
    <rPh sb="7" eb="9">
      <t>セイヒン</t>
    </rPh>
    <phoneticPr fontId="2"/>
  </si>
  <si>
    <t>消防・防災・保安用品</t>
    <rPh sb="0" eb="2">
      <t>ショウボウ</t>
    </rPh>
    <rPh sb="3" eb="5">
      <t>ボウサイ</t>
    </rPh>
    <rPh sb="6" eb="8">
      <t>ホアン</t>
    </rPh>
    <rPh sb="8" eb="10">
      <t>ヨウヒン</t>
    </rPh>
    <phoneticPr fontId="2"/>
  </si>
  <si>
    <t>消火器</t>
    <rPh sb="0" eb="3">
      <t>ショウカキ</t>
    </rPh>
    <phoneticPr fontId="2"/>
  </si>
  <si>
    <t>避難・救助器具</t>
    <rPh sb="0" eb="2">
      <t>ヒナン</t>
    </rPh>
    <rPh sb="3" eb="5">
      <t>キュウジョ</t>
    </rPh>
    <rPh sb="5" eb="7">
      <t>キグ</t>
    </rPh>
    <phoneticPr fontId="2"/>
  </si>
  <si>
    <t>防火服・防護服</t>
    <rPh sb="0" eb="2">
      <t>ボウカ</t>
    </rPh>
    <rPh sb="2" eb="3">
      <t>フク</t>
    </rPh>
    <rPh sb="4" eb="7">
      <t>ボウゴフク</t>
    </rPh>
    <phoneticPr fontId="2"/>
  </si>
  <si>
    <t>化学消火薬剤</t>
    <rPh sb="0" eb="2">
      <t>カガク</t>
    </rPh>
    <rPh sb="2" eb="4">
      <t>ショウカ</t>
    </rPh>
    <rPh sb="4" eb="6">
      <t>ヤクザイ</t>
    </rPh>
    <phoneticPr fontId="2"/>
  </si>
  <si>
    <t>防護マスク</t>
    <rPh sb="0" eb="2">
      <t>ボウゴ</t>
    </rPh>
    <phoneticPr fontId="2"/>
  </si>
  <si>
    <t>警察官用被服類</t>
    <rPh sb="0" eb="2">
      <t>ケイサツ</t>
    </rPh>
    <rPh sb="2" eb="3">
      <t>カン</t>
    </rPh>
    <rPh sb="3" eb="4">
      <t>ヨウ</t>
    </rPh>
    <rPh sb="4" eb="6">
      <t>ヒフク</t>
    </rPh>
    <rPh sb="6" eb="7">
      <t>ルイ</t>
    </rPh>
    <phoneticPr fontId="2"/>
  </si>
  <si>
    <t>男性警察官用被服</t>
    <rPh sb="0" eb="2">
      <t>ダンセイ</t>
    </rPh>
    <rPh sb="2" eb="5">
      <t>ケイサツカン</t>
    </rPh>
    <rPh sb="5" eb="6">
      <t>ヨウ</t>
    </rPh>
    <rPh sb="6" eb="8">
      <t>ヒフク</t>
    </rPh>
    <phoneticPr fontId="2"/>
  </si>
  <si>
    <t>女性警察官用被服</t>
    <rPh sb="0" eb="2">
      <t>ジョセイ</t>
    </rPh>
    <rPh sb="2" eb="5">
      <t>ケイサツカン</t>
    </rPh>
    <rPh sb="5" eb="6">
      <t>ヨウ</t>
    </rPh>
    <rPh sb="6" eb="8">
      <t>ヒフク</t>
    </rPh>
    <phoneticPr fontId="2"/>
  </si>
  <si>
    <t>帽子</t>
    <rPh sb="0" eb="2">
      <t>ボウシ</t>
    </rPh>
    <phoneticPr fontId="2"/>
  </si>
  <si>
    <t>（防護衣を除く）</t>
    <rPh sb="1" eb="3">
      <t>ボウゴ</t>
    </rPh>
    <rPh sb="3" eb="4">
      <t>イ</t>
    </rPh>
    <rPh sb="5" eb="6">
      <t>ノゾ</t>
    </rPh>
    <phoneticPr fontId="2"/>
  </si>
  <si>
    <t>手袋</t>
    <rPh sb="0" eb="2">
      <t>テブクロ</t>
    </rPh>
    <phoneticPr fontId="2"/>
  </si>
  <si>
    <t>警察官用装備品</t>
    <rPh sb="0" eb="3">
      <t>ケイサツカン</t>
    </rPh>
    <rPh sb="3" eb="4">
      <t>ヨウ</t>
    </rPh>
    <rPh sb="4" eb="6">
      <t>ソウビ</t>
    </rPh>
    <rPh sb="6" eb="7">
      <t>ヒン</t>
    </rPh>
    <phoneticPr fontId="2"/>
  </si>
  <si>
    <t>警棒</t>
    <rPh sb="0" eb="2">
      <t>ケイボウ</t>
    </rPh>
    <phoneticPr fontId="2"/>
  </si>
  <si>
    <t>帯革</t>
    <rPh sb="0" eb="1">
      <t>オビ</t>
    </rPh>
    <rPh sb="1" eb="2">
      <t>カワ</t>
    </rPh>
    <phoneticPr fontId="2"/>
  </si>
  <si>
    <t>手錠・捕縄</t>
    <rPh sb="0" eb="2">
      <t>テジョウ</t>
    </rPh>
    <rPh sb="3" eb="5">
      <t>ホジョウ</t>
    </rPh>
    <phoneticPr fontId="2"/>
  </si>
  <si>
    <t>防護楯</t>
    <rPh sb="0" eb="2">
      <t>ボウゴ</t>
    </rPh>
    <rPh sb="2" eb="3">
      <t>タテ</t>
    </rPh>
    <phoneticPr fontId="2"/>
  </si>
  <si>
    <t>看板・旗類等</t>
    <rPh sb="0" eb="2">
      <t>カンバン</t>
    </rPh>
    <rPh sb="3" eb="4">
      <t>ハタ</t>
    </rPh>
    <rPh sb="4" eb="5">
      <t>ルイ</t>
    </rPh>
    <rPh sb="5" eb="6">
      <t>トウ</t>
    </rPh>
    <phoneticPr fontId="2"/>
  </si>
  <si>
    <t>看板・掲示板</t>
    <rPh sb="0" eb="2">
      <t>カンバン</t>
    </rPh>
    <rPh sb="3" eb="6">
      <t>ケイジバン</t>
    </rPh>
    <phoneticPr fontId="2"/>
  </si>
  <si>
    <t>黒板</t>
    <rPh sb="0" eb="2">
      <t>コクバン</t>
    </rPh>
    <phoneticPr fontId="2"/>
  </si>
  <si>
    <t>のぼり旗</t>
    <rPh sb="3" eb="4">
      <t>ハタ</t>
    </rPh>
    <phoneticPr fontId="2"/>
  </si>
  <si>
    <t>横断幕</t>
    <rPh sb="0" eb="3">
      <t>オウダンマク</t>
    </rPh>
    <phoneticPr fontId="2"/>
  </si>
  <si>
    <t>懸垂幕</t>
    <rPh sb="0" eb="2">
      <t>ケンスイ</t>
    </rPh>
    <rPh sb="2" eb="3">
      <t>マク</t>
    </rPh>
    <phoneticPr fontId="2"/>
  </si>
  <si>
    <t>展示品</t>
    <rPh sb="0" eb="3">
      <t>テンジヒン</t>
    </rPh>
    <phoneticPr fontId="2"/>
  </si>
  <si>
    <t>模型</t>
    <rPh sb="0" eb="2">
      <t>モケイ</t>
    </rPh>
    <phoneticPr fontId="2"/>
  </si>
  <si>
    <t>舞台装置</t>
    <rPh sb="0" eb="2">
      <t>ブタイ</t>
    </rPh>
    <rPh sb="2" eb="4">
      <t>ソウチ</t>
    </rPh>
    <phoneticPr fontId="2"/>
  </si>
  <si>
    <t>日用雑貨品</t>
    <rPh sb="0" eb="2">
      <t>ニチヨウ</t>
    </rPh>
    <rPh sb="2" eb="4">
      <t>ザッカ</t>
    </rPh>
    <rPh sb="4" eb="5">
      <t>シナ</t>
    </rPh>
    <phoneticPr fontId="2"/>
  </si>
  <si>
    <t>家庭金物</t>
    <rPh sb="0" eb="2">
      <t>カテイ</t>
    </rPh>
    <rPh sb="2" eb="4">
      <t>カナモノ</t>
    </rPh>
    <phoneticPr fontId="2"/>
  </si>
  <si>
    <t>荒物</t>
    <rPh sb="0" eb="2">
      <t>アラモノ</t>
    </rPh>
    <phoneticPr fontId="2"/>
  </si>
  <si>
    <t>ワックス類</t>
    <rPh sb="4" eb="5">
      <t>ルイ</t>
    </rPh>
    <phoneticPr fontId="2"/>
  </si>
  <si>
    <t>洗剤</t>
    <rPh sb="0" eb="2">
      <t>センザイ</t>
    </rPh>
    <phoneticPr fontId="2"/>
  </si>
  <si>
    <t>その他日用雑貨</t>
    <rPh sb="2" eb="3">
      <t>タ</t>
    </rPh>
    <rPh sb="3" eb="5">
      <t>ニチヨウ</t>
    </rPh>
    <rPh sb="5" eb="7">
      <t>ザッカ</t>
    </rPh>
    <phoneticPr fontId="2"/>
  </si>
  <si>
    <t>動物類</t>
    <rPh sb="0" eb="2">
      <t>ドウブツ</t>
    </rPh>
    <rPh sb="2" eb="3">
      <t>ルイ</t>
    </rPh>
    <phoneticPr fontId="2"/>
  </si>
  <si>
    <t>鳥類</t>
    <rPh sb="0" eb="1">
      <t>トリ</t>
    </rPh>
    <rPh sb="1" eb="2">
      <t>ルイ</t>
    </rPh>
    <phoneticPr fontId="2"/>
  </si>
  <si>
    <t>魚類</t>
    <rPh sb="0" eb="1">
      <t>サカナ</t>
    </rPh>
    <rPh sb="1" eb="2">
      <t>ルイ</t>
    </rPh>
    <phoneticPr fontId="2"/>
  </si>
  <si>
    <t>獣類</t>
    <rPh sb="0" eb="1">
      <t>ケモノ</t>
    </rPh>
    <rPh sb="1" eb="2">
      <t>ルイ</t>
    </rPh>
    <phoneticPr fontId="2"/>
  </si>
  <si>
    <t>その他の動物</t>
    <rPh sb="2" eb="3">
      <t>タ</t>
    </rPh>
    <rPh sb="4" eb="6">
      <t>ドウブツ</t>
    </rPh>
    <phoneticPr fontId="2"/>
  </si>
  <si>
    <t>ＰＣソフトウエア</t>
    <phoneticPr fontId="2"/>
  </si>
  <si>
    <t>（機械類）</t>
    <phoneticPr fontId="2"/>
  </si>
  <si>
    <t>電話番号</t>
    <rPh sb="0" eb="2">
      <t>デンワ</t>
    </rPh>
    <rPh sb="2" eb="4">
      <t>バンゴウ</t>
    </rPh>
    <phoneticPr fontId="2"/>
  </si>
  <si>
    <t>競争入札の参加を　　　　　　　　　希望する営業種目
【単位：大分類】</t>
    <rPh sb="27" eb="29">
      <t>タンイ</t>
    </rPh>
    <rPh sb="30" eb="33">
      <t>ダイブンルイ</t>
    </rPh>
    <phoneticPr fontId="2"/>
  </si>
  <si>
    <t>申請者住所等</t>
    <rPh sb="0" eb="3">
      <t>シンセイシャ</t>
    </rPh>
    <rPh sb="3" eb="5">
      <t>ジュウショ</t>
    </rPh>
    <rPh sb="5" eb="6">
      <t>トウ</t>
    </rPh>
    <phoneticPr fontId="2"/>
  </si>
  <si>
    <t>入札通知書の送付先</t>
    <rPh sb="0" eb="2">
      <t>ニュウサツ</t>
    </rPh>
    <rPh sb="2" eb="4">
      <t>ツウチ</t>
    </rPh>
    <rPh sb="4" eb="5">
      <t>ショ</t>
    </rPh>
    <rPh sb="6" eb="8">
      <t>ソウフ</t>
    </rPh>
    <rPh sb="8" eb="9">
      <t>サキ</t>
    </rPh>
    <phoneticPr fontId="2"/>
  </si>
  <si>
    <t>送付先</t>
    <rPh sb="0" eb="2">
      <t>ソウフ</t>
    </rPh>
    <rPh sb="2" eb="3">
      <t>サキ</t>
    </rPh>
    <phoneticPr fontId="2"/>
  </si>
  <si>
    <t>マシニングセンタ</t>
    <phoneticPr fontId="2"/>
  </si>
  <si>
    <t>プロパンガス</t>
    <phoneticPr fontId="2"/>
  </si>
  <si>
    <t>ガードレール</t>
    <phoneticPr fontId="2"/>
  </si>
  <si>
    <t>コンクリート・セメント・</t>
    <phoneticPr fontId="2"/>
  </si>
  <si>
    <t>セメント</t>
    <phoneticPr fontId="2"/>
  </si>
  <si>
    <t>ピアノ</t>
    <phoneticPr fontId="2"/>
  </si>
  <si>
    <t>カップ</t>
    <phoneticPr fontId="2"/>
  </si>
  <si>
    <t>類</t>
    <phoneticPr fontId="2"/>
  </si>
  <si>
    <t>ヘルメット</t>
    <phoneticPr fontId="2"/>
  </si>
  <si>
    <t>平版印刷等</t>
    <rPh sb="0" eb="2">
      <t>ヘイバン</t>
    </rPh>
    <rPh sb="2" eb="4">
      <t>インサツ</t>
    </rPh>
    <rPh sb="4" eb="5">
      <t>トウ</t>
    </rPh>
    <phoneticPr fontId="2"/>
  </si>
  <si>
    <t>農作物検査機器</t>
    <rPh sb="0" eb="3">
      <t>ノウサクブツ</t>
    </rPh>
    <rPh sb="3" eb="5">
      <t>ケンサ</t>
    </rPh>
    <rPh sb="5" eb="7">
      <t>キキ</t>
    </rPh>
    <phoneticPr fontId="2"/>
  </si>
  <si>
    <t>ボイラ</t>
    <phoneticPr fontId="2"/>
  </si>
  <si>
    <t>その他ストーブ</t>
    <phoneticPr fontId="2"/>
  </si>
  <si>
    <t>ＦＦ式ストーブ</t>
    <rPh sb="2" eb="3">
      <t>シキ</t>
    </rPh>
    <phoneticPr fontId="2"/>
  </si>
  <si>
    <t>発電機</t>
    <rPh sb="0" eb="3">
      <t>ハツデンキ</t>
    </rPh>
    <phoneticPr fontId="2"/>
  </si>
  <si>
    <t>車両整備用品</t>
    <rPh sb="0" eb="2">
      <t>シャリョウ</t>
    </rPh>
    <rPh sb="2" eb="4">
      <t>セイビ</t>
    </rPh>
    <rPh sb="4" eb="6">
      <t>ヨウヒン</t>
    </rPh>
    <phoneticPr fontId="2"/>
  </si>
  <si>
    <t>船舶整備用品</t>
    <rPh sb="0" eb="2">
      <t>センパク</t>
    </rPh>
    <rPh sb="2" eb="4">
      <t>セイビ</t>
    </rPh>
    <rPh sb="4" eb="6">
      <t>ヨウヒン</t>
    </rPh>
    <phoneticPr fontId="2"/>
  </si>
  <si>
    <t>航空機整備用品</t>
    <rPh sb="0" eb="3">
      <t>コウクウキ</t>
    </rPh>
    <rPh sb="3" eb="5">
      <t>セイビ</t>
    </rPh>
    <rPh sb="5" eb="7">
      <t>ヨウヒン</t>
    </rPh>
    <phoneticPr fontId="2"/>
  </si>
  <si>
    <t>ビデオ（出版物）</t>
    <rPh sb="4" eb="7">
      <t>シュッパンブツ</t>
    </rPh>
    <phoneticPr fontId="2"/>
  </si>
  <si>
    <t>ＣＤ・ＤＶＤ（出版物）</t>
    <rPh sb="7" eb="10">
      <t>シュッパンブツ</t>
    </rPh>
    <phoneticPr fontId="2"/>
  </si>
  <si>
    <t>その他平版印刷等</t>
    <rPh sb="2" eb="3">
      <t>タ</t>
    </rPh>
    <rPh sb="3" eb="5">
      <t>ヘイバン</t>
    </rPh>
    <rPh sb="5" eb="7">
      <t>インサツ</t>
    </rPh>
    <rPh sb="7" eb="8">
      <t>トウ</t>
    </rPh>
    <phoneticPr fontId="2"/>
  </si>
  <si>
    <t>（千円未満
四捨五入）</t>
    <rPh sb="1" eb="3">
      <t>センエン</t>
    </rPh>
    <rPh sb="3" eb="5">
      <t>ミマン</t>
    </rPh>
    <rPh sb="6" eb="10">
      <t>シシャゴニュウ</t>
    </rPh>
    <phoneticPr fontId="2"/>
  </si>
  <si>
    <t>看護・介護用機器（ベッドを含む）</t>
    <rPh sb="0" eb="2">
      <t>カンゴ</t>
    </rPh>
    <rPh sb="3" eb="5">
      <t>カイゴ</t>
    </rPh>
    <rPh sb="5" eb="6">
      <t>ヨウ</t>
    </rPh>
    <rPh sb="6" eb="8">
      <t>キキ</t>
    </rPh>
    <rPh sb="13" eb="14">
      <t>フク</t>
    </rPh>
    <phoneticPr fontId="2"/>
  </si>
  <si>
    <t>　選択、記入してください。</t>
    <rPh sb="1" eb="3">
      <t>センタク</t>
    </rPh>
    <rPh sb="4" eb="6">
      <t>キニュウ</t>
    </rPh>
    <phoneticPr fontId="2"/>
  </si>
  <si>
    <t>１   入札・契約・代金の請求及び受領・復代理人の選任に関する権限を常時委任する場合に</t>
    <rPh sb="4" eb="6">
      <t>ニュウサツ</t>
    </rPh>
    <rPh sb="7" eb="9">
      <t>ケイヤク</t>
    </rPh>
    <rPh sb="10" eb="12">
      <t>ダイキン</t>
    </rPh>
    <rPh sb="13" eb="15">
      <t>セイキュウ</t>
    </rPh>
    <rPh sb="15" eb="16">
      <t>オヨ</t>
    </rPh>
    <rPh sb="17" eb="19">
      <t>ジュリョウ</t>
    </rPh>
    <rPh sb="28" eb="29">
      <t>カン</t>
    </rPh>
    <rPh sb="31" eb="33">
      <t>ケンゲン</t>
    </rPh>
    <rPh sb="34" eb="36">
      <t>ジョウジ</t>
    </rPh>
    <rPh sb="36" eb="38">
      <t>イニン</t>
    </rPh>
    <rPh sb="40" eb="42">
      <t>バアイ</t>
    </rPh>
    <phoneticPr fontId="2"/>
  </si>
  <si>
    <t>３   個々の入札時の入札書の提出のみを委任する場合は記入しないでください。</t>
    <rPh sb="4" eb="6">
      <t>ココ</t>
    </rPh>
    <rPh sb="7" eb="9">
      <t>ニュウサツ</t>
    </rPh>
    <rPh sb="9" eb="10">
      <t>ジ</t>
    </rPh>
    <rPh sb="11" eb="13">
      <t>ニュウサツ</t>
    </rPh>
    <rPh sb="13" eb="14">
      <t>ショ</t>
    </rPh>
    <rPh sb="15" eb="17">
      <t>テイシュツ</t>
    </rPh>
    <rPh sb="20" eb="22">
      <t>イニン</t>
    </rPh>
    <rPh sb="24" eb="26">
      <t>バアイ</t>
    </rPh>
    <rPh sb="27" eb="29">
      <t>キニュウ</t>
    </rPh>
    <phoneticPr fontId="2"/>
  </si>
  <si>
    <t>平版印刷等</t>
    <rPh sb="0" eb="2">
      <t>ヘイハン</t>
    </rPh>
    <rPh sb="2" eb="4">
      <t>インサツ</t>
    </rPh>
    <rPh sb="4" eb="5">
      <t>トウ</t>
    </rPh>
    <phoneticPr fontId="2"/>
  </si>
  <si>
    <t>靴・皮革・ゴム製品（警察官用を除く）</t>
    <rPh sb="0" eb="1">
      <t>クツ</t>
    </rPh>
    <rPh sb="2" eb="4">
      <t>ヒカク</t>
    </rPh>
    <rPh sb="7" eb="9">
      <t>セイヒン</t>
    </rPh>
    <rPh sb="10" eb="12">
      <t>ケイサツ</t>
    </rPh>
    <rPh sb="12" eb="13">
      <t>カン</t>
    </rPh>
    <rPh sb="13" eb="14">
      <t>ヨウ</t>
    </rPh>
    <rPh sb="15" eb="16">
      <t>ノゾ</t>
    </rPh>
    <phoneticPr fontId="2"/>
  </si>
  <si>
    <t>贈答用文具</t>
    <rPh sb="0" eb="2">
      <t>ゾウトウ</t>
    </rPh>
    <rPh sb="2" eb="3">
      <t>ヨウ</t>
    </rPh>
    <rPh sb="3" eb="5">
      <t>ブング</t>
    </rPh>
    <phoneticPr fontId="2"/>
  </si>
  <si>
    <t>法人番号</t>
    <rPh sb="0" eb="2">
      <t>ホウジン</t>
    </rPh>
    <rPh sb="2" eb="4">
      <t>バンゴウ</t>
    </rPh>
    <phoneticPr fontId="2"/>
  </si>
  <si>
    <t>コード</t>
    <phoneticPr fontId="2"/>
  </si>
  <si>
    <t>ストックフォーム</t>
    <phoneticPr fontId="2"/>
  </si>
  <si>
    <t>シュレッダ</t>
    <phoneticPr fontId="2"/>
  </si>
  <si>
    <t>パソコン・サーバ</t>
    <phoneticPr fontId="2"/>
  </si>
  <si>
    <t>トナーカートリッジ</t>
    <phoneticPr fontId="2"/>
  </si>
  <si>
    <t>カーテン・ブラインド</t>
    <phoneticPr fontId="2"/>
  </si>
  <si>
    <t>ポスター</t>
    <phoneticPr fontId="2"/>
  </si>
  <si>
    <t>マイクロフィルム</t>
    <phoneticPr fontId="2"/>
  </si>
  <si>
    <t>プロジェクター</t>
    <phoneticPr fontId="2"/>
  </si>
  <si>
    <t>ガスクロマトグラフ</t>
    <phoneticPr fontId="2"/>
  </si>
  <si>
    <t>消耗品</t>
    <phoneticPr fontId="2"/>
  </si>
  <si>
    <t>グレーダ</t>
    <phoneticPr fontId="2"/>
  </si>
  <si>
    <t>ドーザ</t>
    <phoneticPr fontId="2"/>
  </si>
  <si>
    <t>トラクタ</t>
    <phoneticPr fontId="2"/>
  </si>
  <si>
    <t>コンバイン</t>
    <phoneticPr fontId="2"/>
  </si>
  <si>
    <t>ＦＡシステム</t>
    <phoneticPr fontId="2"/>
  </si>
  <si>
    <t>空調機</t>
    <phoneticPr fontId="2"/>
  </si>
  <si>
    <t>空気清浄機</t>
    <phoneticPr fontId="2"/>
  </si>
  <si>
    <t>ポンプ</t>
    <phoneticPr fontId="2"/>
  </si>
  <si>
    <t>フォークリフト</t>
    <phoneticPr fontId="2"/>
  </si>
  <si>
    <t>消耗資材</t>
    <phoneticPr fontId="2"/>
  </si>
  <si>
    <t>トラック・バス</t>
    <phoneticPr fontId="2"/>
  </si>
  <si>
    <t>ヨット</t>
    <phoneticPr fontId="2"/>
  </si>
  <si>
    <t>ヘリコプター</t>
    <phoneticPr fontId="2"/>
  </si>
  <si>
    <t>装備品</t>
    <phoneticPr fontId="2"/>
  </si>
  <si>
    <t>ガソリン</t>
    <phoneticPr fontId="2"/>
  </si>
  <si>
    <t>ＣＮＧ</t>
    <phoneticPr fontId="2"/>
  </si>
  <si>
    <t>舗装材類</t>
    <phoneticPr fontId="2"/>
  </si>
  <si>
    <t>カーブミラー</t>
    <phoneticPr fontId="2"/>
  </si>
  <si>
    <t>スノーポール</t>
    <phoneticPr fontId="2"/>
  </si>
  <si>
    <t>デリネーター</t>
    <phoneticPr fontId="2"/>
  </si>
  <si>
    <t>ガラス</t>
    <phoneticPr fontId="2"/>
  </si>
  <si>
    <t>フレコンパック</t>
    <phoneticPr fontId="2"/>
  </si>
  <si>
    <t>ブルーシート</t>
    <phoneticPr fontId="2"/>
  </si>
  <si>
    <t>ベルト</t>
    <phoneticPr fontId="2"/>
  </si>
  <si>
    <t>ネクタイ</t>
    <phoneticPr fontId="2"/>
  </si>
  <si>
    <t>トイレットペーパー</t>
    <phoneticPr fontId="2"/>
  </si>
  <si>
    <t>図書カード</t>
    <rPh sb="0" eb="2">
      <t>トショ</t>
    </rPh>
    <phoneticPr fontId="2"/>
  </si>
  <si>
    <t>特別高圧（電気）</t>
    <rPh sb="0" eb="2">
      <t>トクベツ</t>
    </rPh>
    <rPh sb="2" eb="4">
      <t>コウアツ</t>
    </rPh>
    <rPh sb="5" eb="7">
      <t>デンキ</t>
    </rPh>
    <phoneticPr fontId="2"/>
  </si>
  <si>
    <t>畳</t>
    <rPh sb="0" eb="1">
      <t>タタミ</t>
    </rPh>
    <phoneticPr fontId="2"/>
  </si>
  <si>
    <t>文房具</t>
    <rPh sb="0" eb="3">
      <t>ブンボウグ</t>
    </rPh>
    <phoneticPr fontId="2"/>
  </si>
  <si>
    <t>複写サービス業務</t>
    <rPh sb="0" eb="2">
      <t>フクシャ</t>
    </rPh>
    <rPh sb="6" eb="8">
      <t>ギョウム</t>
    </rPh>
    <phoneticPr fontId="2"/>
  </si>
  <si>
    <t>耐震補強枠付鉄骨ブレース</t>
    <rPh sb="0" eb="2">
      <t>タイシン</t>
    </rPh>
    <rPh sb="2" eb="4">
      <t>ホキョウ</t>
    </rPh>
    <rPh sb="4" eb="5">
      <t>ワク</t>
    </rPh>
    <rPh sb="5" eb="6">
      <t>ツ</t>
    </rPh>
    <rPh sb="6" eb="8">
      <t>テッコツ</t>
    </rPh>
    <phoneticPr fontId="2"/>
  </si>
  <si>
    <t>高圧（電気）</t>
    <rPh sb="0" eb="2">
      <t>コウアツ</t>
    </rPh>
    <rPh sb="1" eb="2">
      <t>トッコウ</t>
    </rPh>
    <rPh sb="3" eb="5">
      <t>デンキ</t>
    </rPh>
    <phoneticPr fontId="2"/>
  </si>
  <si>
    <t>都道府県</t>
    <rPh sb="0" eb="4">
      <t>トドウフケン</t>
    </rPh>
    <phoneticPr fontId="2"/>
  </si>
  <si>
    <t>新規</t>
    <rPh sb="0" eb="2">
      <t>シンキ</t>
    </rPh>
    <phoneticPr fontId="2"/>
  </si>
  <si>
    <t>継続</t>
    <rPh sb="0" eb="2">
      <t>ケイゾク</t>
    </rPh>
    <phoneticPr fontId="2"/>
  </si>
  <si>
    <t>部署名・氏名</t>
    <rPh sb="0" eb="2">
      <t>ブショ</t>
    </rPh>
    <rPh sb="2" eb="3">
      <t>メイ</t>
    </rPh>
    <rPh sb="4" eb="6">
      <t>シメイ</t>
    </rPh>
    <phoneticPr fontId="2"/>
  </si>
  <si>
    <t>申請年月日</t>
    <rPh sb="0" eb="2">
      <t>シンセイ</t>
    </rPh>
    <rPh sb="2" eb="5">
      <t>ネンガッピ</t>
    </rPh>
    <phoneticPr fontId="2"/>
  </si>
  <si>
    <t>市区町村以下</t>
    <rPh sb="0" eb="2">
      <t>シク</t>
    </rPh>
    <rPh sb="2" eb="4">
      <t>チョウソン</t>
    </rPh>
    <rPh sb="4" eb="6">
      <t>イカ</t>
    </rPh>
    <phoneticPr fontId="2"/>
  </si>
  <si>
    <t>(1) 小売業</t>
    <phoneticPr fontId="2"/>
  </si>
  <si>
    <t>(2) 卸売業</t>
    <phoneticPr fontId="2"/>
  </si>
  <si>
    <t>(3) ソフトウェア業又は情報処理サービス業</t>
    <phoneticPr fontId="2"/>
  </si>
  <si>
    <t>(4) (3)以外のサービス業</t>
    <phoneticPr fontId="2"/>
  </si>
  <si>
    <t>(5) 旅館業</t>
    <phoneticPr fontId="2"/>
  </si>
  <si>
    <t>(6) ゴム製品製造業</t>
    <phoneticPr fontId="2"/>
  </si>
  <si>
    <t>(7) (6)以外の製造業、建築業、運輸業、その他業種</t>
    <phoneticPr fontId="2"/>
  </si>
  <si>
    <t>認証状況</t>
    <rPh sb="0" eb="2">
      <t>ニンショウ</t>
    </rPh>
    <rPh sb="2" eb="4">
      <t>ジョウキョウ</t>
    </rPh>
    <phoneticPr fontId="2"/>
  </si>
  <si>
    <t>該当あり</t>
    <rPh sb="0" eb="2">
      <t>ガイトウ</t>
    </rPh>
    <phoneticPr fontId="2"/>
  </si>
  <si>
    <t>該当なし</t>
    <rPh sb="0" eb="2">
      <t>ガイトウ</t>
    </rPh>
    <phoneticPr fontId="2"/>
  </si>
  <si>
    <t>ISO   9000シリーズ</t>
    <phoneticPr fontId="2"/>
  </si>
  <si>
    <t>ISO  14000シリーズ</t>
    <phoneticPr fontId="2"/>
  </si>
  <si>
    <t>ISO  27000シリーズ</t>
    <phoneticPr fontId="2"/>
  </si>
  <si>
    <t>職名</t>
    <phoneticPr fontId="2"/>
  </si>
  <si>
    <t>都道府県</t>
    <rPh sb="0" eb="4">
      <t>トドウフケン</t>
    </rPh>
    <phoneticPr fontId="2"/>
  </si>
  <si>
    <t>市区町村以下</t>
    <phoneticPr fontId="2"/>
  </si>
  <si>
    <t>登録する</t>
    <rPh sb="0" eb="2">
      <t>トウロク</t>
    </rPh>
    <phoneticPr fontId="2"/>
  </si>
  <si>
    <t>登録しない</t>
    <rPh sb="0" eb="2">
      <t>トウロク</t>
    </rPh>
    <phoneticPr fontId="2"/>
  </si>
  <si>
    <t>代理人を置く</t>
    <rPh sb="0" eb="3">
      <t>ダイリニン</t>
    </rPh>
    <rPh sb="4" eb="5">
      <t>オ</t>
    </rPh>
    <phoneticPr fontId="2"/>
  </si>
  <si>
    <t>代理人を置かない</t>
    <rPh sb="0" eb="3">
      <t>ダイリニン</t>
    </rPh>
    <rPh sb="4" eb="5">
      <t>オ</t>
    </rPh>
    <phoneticPr fontId="2"/>
  </si>
  <si>
    <t>明治</t>
    <rPh sb="0" eb="2">
      <t>メイジ</t>
    </rPh>
    <phoneticPr fontId="28"/>
  </si>
  <si>
    <t>M</t>
    <phoneticPr fontId="28"/>
  </si>
  <si>
    <t>大正</t>
    <rPh sb="0" eb="2">
      <t>タイショウ</t>
    </rPh>
    <phoneticPr fontId="28"/>
  </si>
  <si>
    <t>T</t>
    <phoneticPr fontId="28"/>
  </si>
  <si>
    <t>昭和</t>
    <rPh sb="0" eb="2">
      <t>ショウワ</t>
    </rPh>
    <phoneticPr fontId="28"/>
  </si>
  <si>
    <t>S</t>
    <phoneticPr fontId="28"/>
  </si>
  <si>
    <t>平成</t>
    <rPh sb="0" eb="2">
      <t>ヘイセイ</t>
    </rPh>
    <phoneticPr fontId="28"/>
  </si>
  <si>
    <t>H</t>
    <phoneticPr fontId="28"/>
  </si>
  <si>
    <t>令和</t>
    <rPh sb="0" eb="2">
      <t>レイワ</t>
    </rPh>
    <phoneticPr fontId="28"/>
  </si>
  <si>
    <t>R</t>
    <phoneticPr fontId="28"/>
  </si>
  <si>
    <t>令和</t>
    <rPh sb="0" eb="2">
      <t>レイワ</t>
    </rPh>
    <phoneticPr fontId="2"/>
  </si>
  <si>
    <t>年</t>
    <rPh sb="0" eb="1">
      <t>ネン</t>
    </rPh>
    <phoneticPr fontId="2"/>
  </si>
  <si>
    <t>月</t>
    <rPh sb="0" eb="1">
      <t>ガツ</t>
    </rPh>
    <phoneticPr fontId="2"/>
  </si>
  <si>
    <t>日</t>
    <rPh sb="0" eb="1">
      <t>ニチ</t>
    </rPh>
    <phoneticPr fontId="2"/>
  </si>
  <si>
    <t>年</t>
    <rPh sb="0" eb="1">
      <t>ネン</t>
    </rPh>
    <phoneticPr fontId="2"/>
  </si>
  <si>
    <t>日</t>
    <rPh sb="0" eb="1">
      <t>ニチ</t>
    </rPh>
    <phoneticPr fontId="2"/>
  </si>
  <si>
    <t>月</t>
    <rPh sb="0" eb="1">
      <t>ゲツ</t>
    </rPh>
    <phoneticPr fontId="2"/>
  </si>
  <si>
    <t>使用印鑑の登録</t>
    <rPh sb="0" eb="2">
      <t>シヨウ</t>
    </rPh>
    <rPh sb="2" eb="4">
      <t>インカン</t>
    </rPh>
    <rPh sb="5" eb="7">
      <t>トウロク</t>
    </rPh>
    <phoneticPr fontId="2"/>
  </si>
  <si>
    <t>本店所在市町村</t>
    <rPh sb="0" eb="2">
      <t>ホンテン</t>
    </rPh>
    <rPh sb="2" eb="4">
      <t>ショザイ</t>
    </rPh>
    <rPh sb="4" eb="7">
      <t>シチョウソン</t>
    </rPh>
    <phoneticPr fontId="2"/>
  </si>
  <si>
    <t>上記に記載した住所が
登記等と異なる理由</t>
    <rPh sb="0" eb="2">
      <t>ジョウキ</t>
    </rPh>
    <rPh sb="3" eb="5">
      <t>キサイ</t>
    </rPh>
    <rPh sb="7" eb="9">
      <t>ジュウショ</t>
    </rPh>
    <rPh sb="11" eb="13">
      <t>トウキ</t>
    </rPh>
    <rPh sb="13" eb="14">
      <t>トウ</t>
    </rPh>
    <rPh sb="18" eb="20">
      <t>リユウ</t>
    </rPh>
    <phoneticPr fontId="2"/>
  </si>
  <si>
    <t>１</t>
    <phoneticPr fontId="2"/>
  </si>
  <si>
    <t>２</t>
    <phoneticPr fontId="2"/>
  </si>
  <si>
    <t>３</t>
    <phoneticPr fontId="2"/>
  </si>
  <si>
    <t>４</t>
    <phoneticPr fontId="2"/>
  </si>
  <si>
    <t>５</t>
    <phoneticPr fontId="2"/>
  </si>
  <si>
    <t>６</t>
    <phoneticPr fontId="2"/>
  </si>
  <si>
    <t>申請書記載
担当者連絡先　　　　　　　　　　</t>
    <rPh sb="0" eb="3">
      <t>シンセイショ</t>
    </rPh>
    <rPh sb="3" eb="5">
      <t>キサイ</t>
    </rPh>
    <rPh sb="6" eb="9">
      <t>タントウシャ</t>
    </rPh>
    <rPh sb="9" eb="12">
      <t>レンラクサキ</t>
    </rPh>
    <phoneticPr fontId="2"/>
  </si>
  <si>
    <r>
      <t xml:space="preserve">業種 </t>
    </r>
    <r>
      <rPr>
        <sz val="10"/>
        <rFont val="ＭＳ Ｐ明朝"/>
        <family val="1"/>
        <charset val="128"/>
      </rPr>
      <t>（記載要領の業種欄から選択して記入）</t>
    </r>
    <rPh sb="0" eb="1">
      <t>ギョウ</t>
    </rPh>
    <rPh sb="1" eb="2">
      <t>タネ</t>
    </rPh>
    <rPh sb="4" eb="6">
      <t>キサイ</t>
    </rPh>
    <rPh sb="6" eb="8">
      <t>ヨウリョウ</t>
    </rPh>
    <rPh sb="9" eb="11">
      <t>ギョウシュ</t>
    </rPh>
    <rPh sb="11" eb="12">
      <t>ラン</t>
    </rPh>
    <rPh sb="14" eb="16">
      <t>センタク</t>
    </rPh>
    <rPh sb="18" eb="20">
      <t>キニュウ</t>
    </rPh>
    <phoneticPr fontId="2"/>
  </si>
  <si>
    <r>
      <t xml:space="preserve">従業員数 </t>
    </r>
    <r>
      <rPr>
        <sz val="10"/>
        <rFont val="ＭＳ Ｐ明朝"/>
        <family val="1"/>
        <charset val="128"/>
      </rPr>
      <t>（中小企業基本法に定める従業員数）</t>
    </r>
    <rPh sb="0" eb="3">
      <t>ジュウギョウイン</t>
    </rPh>
    <rPh sb="3" eb="4">
      <t>スウ</t>
    </rPh>
    <rPh sb="6" eb="8">
      <t>チュウショウ</t>
    </rPh>
    <rPh sb="8" eb="10">
      <t>キギョウ</t>
    </rPh>
    <rPh sb="10" eb="13">
      <t>キホンホウ</t>
    </rPh>
    <rPh sb="14" eb="15">
      <t>サダ</t>
    </rPh>
    <rPh sb="17" eb="20">
      <t>ジュウギョウイン</t>
    </rPh>
    <rPh sb="20" eb="21">
      <t>スウ</t>
    </rPh>
    <phoneticPr fontId="2"/>
  </si>
  <si>
    <r>
      <t xml:space="preserve">法人の役員又は個人の事業主の数 </t>
    </r>
    <r>
      <rPr>
        <sz val="10"/>
        <rFont val="ＭＳ Ｐ明朝"/>
        <family val="1"/>
        <charset val="128"/>
      </rPr>
      <t>(外書)</t>
    </r>
    <rPh sb="0" eb="2">
      <t>ホウジン</t>
    </rPh>
    <rPh sb="3" eb="5">
      <t>ヤクイン</t>
    </rPh>
    <rPh sb="5" eb="6">
      <t>マタ</t>
    </rPh>
    <rPh sb="7" eb="9">
      <t>コジン</t>
    </rPh>
    <rPh sb="10" eb="13">
      <t>ジギョウヌシ</t>
    </rPh>
    <rPh sb="14" eb="15">
      <t>カズ</t>
    </rPh>
    <rPh sb="17" eb="18">
      <t>ソト</t>
    </rPh>
    <rPh sb="18" eb="19">
      <t>ショ</t>
    </rPh>
    <phoneticPr fontId="2"/>
  </si>
  <si>
    <t>２   「許認可等始期」「許認可等終期」欄については、許認可等の期間の始期を上段に、終期を下段に</t>
    <phoneticPr fontId="2"/>
  </si>
  <si>
    <r>
      <t>１   営業許認可等とは、</t>
    </r>
    <r>
      <rPr>
        <u/>
        <sz val="10"/>
        <rFont val="ＭＳ Ｐ明朝"/>
        <family val="1"/>
        <charset val="128"/>
      </rPr>
      <t>物品の販売等に必要不可欠な</t>
    </r>
    <r>
      <rPr>
        <sz val="10"/>
        <rFont val="ＭＳ Ｐ明朝"/>
        <family val="1"/>
        <charset val="128"/>
      </rPr>
      <t>許可、登録、認可、届出等をいいます。</t>
    </r>
    <rPh sb="4" eb="6">
      <t>エイギョウ</t>
    </rPh>
    <rPh sb="6" eb="9">
      <t>キョニンカ</t>
    </rPh>
    <rPh sb="9" eb="10">
      <t>トウ</t>
    </rPh>
    <rPh sb="13" eb="15">
      <t>ブッピン</t>
    </rPh>
    <rPh sb="16" eb="18">
      <t>ハンバイ</t>
    </rPh>
    <rPh sb="18" eb="19">
      <t>トウ</t>
    </rPh>
    <rPh sb="20" eb="22">
      <t>ヒツヨウ</t>
    </rPh>
    <rPh sb="22" eb="25">
      <t>フカケツ</t>
    </rPh>
    <rPh sb="26" eb="28">
      <t>キョカ</t>
    </rPh>
    <rPh sb="29" eb="31">
      <t>トウロク</t>
    </rPh>
    <rPh sb="32" eb="34">
      <t>ニンカ</t>
    </rPh>
    <rPh sb="35" eb="37">
      <t>トドケデ</t>
    </rPh>
    <rPh sb="37" eb="38">
      <t>トウ</t>
    </rPh>
    <phoneticPr fontId="2"/>
  </si>
  <si>
    <t>　 記載してください。期間のないものについては、許認可等を受けた年月日を上段に記載してください。</t>
    <phoneticPr fontId="2"/>
  </si>
  <si>
    <t>注　　「資本金」欄の金額は、原則として登記事項証明書と一致するものとしますが、登記事項証明書と</t>
    <rPh sb="0" eb="1">
      <t>チュウ</t>
    </rPh>
    <phoneticPr fontId="2"/>
  </si>
  <si>
    <t xml:space="preserve">   貸借対照表で異なる場合は、新しい方の金額としてください。</t>
    <phoneticPr fontId="2"/>
  </si>
  <si>
    <t>県使用欄</t>
    <rPh sb="0" eb="1">
      <t>ケン</t>
    </rPh>
    <rPh sb="1" eb="4">
      <t>シヨウラン</t>
    </rPh>
    <phoneticPr fontId="2"/>
  </si>
  <si>
    <t>加入している</t>
    <rPh sb="0" eb="2">
      <t>カニュウ</t>
    </rPh>
    <phoneticPr fontId="2"/>
  </si>
  <si>
    <t>確認事項（該当するものを○で囲み、必要事項を記入してください。）</t>
    <rPh sb="0" eb="2">
      <t>カクニン</t>
    </rPh>
    <rPh sb="2" eb="4">
      <t>ジコウ</t>
    </rPh>
    <phoneticPr fontId="2"/>
  </si>
  <si>
    <t>加入していない</t>
    <rPh sb="0" eb="2">
      <t>カニュウ</t>
    </rPh>
    <phoneticPr fontId="2"/>
  </si>
  <si>
    <t>遵守している</t>
    <rPh sb="0" eb="2">
      <t>ジュンシュ</t>
    </rPh>
    <phoneticPr fontId="2"/>
  </si>
  <si>
    <t>(1)</t>
    <phoneticPr fontId="2"/>
  </si>
  <si>
    <t>遵守していない</t>
    <rPh sb="0" eb="2">
      <t>ジュンシュ</t>
    </rPh>
    <phoneticPr fontId="2"/>
  </si>
  <si>
    <r>
      <t xml:space="preserve">
社会保険について
</t>
    </r>
    <r>
      <rPr>
        <sz val="8"/>
        <rFont val="ＭＳ Ｐ明朝"/>
        <family val="1"/>
        <charset val="128"/>
      </rPr>
      <t>（健康保険・厚生年金保険）</t>
    </r>
    <rPh sb="1" eb="3">
      <t>シャカイ</t>
    </rPh>
    <rPh sb="3" eb="5">
      <t>ホケン</t>
    </rPh>
    <rPh sb="11" eb="13">
      <t>ケンコウ</t>
    </rPh>
    <rPh sb="13" eb="15">
      <t>ホケン</t>
    </rPh>
    <rPh sb="16" eb="18">
      <t>コウセイ</t>
    </rPh>
    <rPh sb="18" eb="20">
      <t>ネンキン</t>
    </rPh>
    <rPh sb="20" eb="22">
      <t>ホケン</t>
    </rPh>
    <phoneticPr fontId="2"/>
  </si>
  <si>
    <t>行っている</t>
    <rPh sb="0" eb="1">
      <t>オコナ</t>
    </rPh>
    <phoneticPr fontId="2"/>
  </si>
  <si>
    <t>(2)</t>
    <phoneticPr fontId="2"/>
  </si>
  <si>
    <t>行っていない</t>
    <rPh sb="0" eb="1">
      <t>オコナ</t>
    </rPh>
    <phoneticPr fontId="2"/>
  </si>
  <si>
    <r>
      <t xml:space="preserve">
労働保険について
</t>
    </r>
    <r>
      <rPr>
        <sz val="8"/>
        <rFont val="ＭＳ Ｐ明朝"/>
        <family val="1"/>
        <charset val="128"/>
      </rPr>
      <t>（雇用保険・労災保険）</t>
    </r>
    <rPh sb="1" eb="3">
      <t>ロウドウ</t>
    </rPh>
    <rPh sb="3" eb="5">
      <t>ホケン</t>
    </rPh>
    <rPh sb="11" eb="13">
      <t>コヨウ</t>
    </rPh>
    <rPh sb="13" eb="15">
      <t>ホケン</t>
    </rPh>
    <rPh sb="16" eb="18">
      <t>ロウサイ</t>
    </rPh>
    <rPh sb="18" eb="20">
      <t>ホケン</t>
    </rPh>
    <phoneticPr fontId="2"/>
  </si>
  <si>
    <t>なし</t>
    <phoneticPr fontId="2"/>
  </si>
  <si>
    <t>◯</t>
    <phoneticPr fontId="2"/>
  </si>
  <si>
    <t>(3)</t>
    <phoneticPr fontId="2"/>
  </si>
  <si>
    <t>あり</t>
    <phoneticPr fontId="2"/>
  </si>
  <si>
    <t xml:space="preserve">
最低賃金について</t>
    <rPh sb="1" eb="3">
      <t>サイテイ</t>
    </rPh>
    <rPh sb="3" eb="5">
      <t>チンギン</t>
    </rPh>
    <phoneticPr fontId="2"/>
  </si>
  <si>
    <t>(4)</t>
    <phoneticPr fontId="2"/>
  </si>
  <si>
    <t xml:space="preserve">
個人住民税の特別徴収について</t>
    <rPh sb="1" eb="3">
      <t>コジン</t>
    </rPh>
    <rPh sb="3" eb="6">
      <t>ジュウミンゼイ</t>
    </rPh>
    <rPh sb="7" eb="9">
      <t>トクベツ</t>
    </rPh>
    <rPh sb="9" eb="11">
      <t>チョウシュウ</t>
    </rPh>
    <phoneticPr fontId="2"/>
  </si>
  <si>
    <t>第１号様式　別紙５</t>
    <rPh sb="6" eb="8">
      <t>ベッシ</t>
    </rPh>
    <phoneticPr fontId="2"/>
  </si>
  <si>
    <t>その他住所</t>
    <rPh sb="2" eb="3">
      <t>タ</t>
    </rPh>
    <rPh sb="3" eb="5">
      <t>ジュウショ</t>
    </rPh>
    <phoneticPr fontId="2"/>
  </si>
  <si>
    <r>
      <rPr>
        <b/>
        <u/>
        <sz val="11"/>
        <rFont val="ＭＳ Ｐゴシック"/>
        <family val="3"/>
        <charset val="128"/>
      </rPr>
      <t>「その他住所」を指定した場合のみ</t>
    </r>
    <r>
      <rPr>
        <sz val="11"/>
        <rFont val="ＭＳ Ｐゴシック"/>
        <family val="3"/>
        <charset val="128"/>
      </rPr>
      <t>、</t>
    </r>
    <r>
      <rPr>
        <sz val="11"/>
        <rFont val="ＭＳ Ｐ明朝"/>
        <family val="1"/>
        <charset val="128"/>
      </rPr>
      <t>以下に記入してください。</t>
    </r>
    <rPh sb="3" eb="4">
      <t>タ</t>
    </rPh>
    <rPh sb="4" eb="6">
      <t>ジュウショ</t>
    </rPh>
    <rPh sb="8" eb="10">
      <t>シテイ</t>
    </rPh>
    <rPh sb="12" eb="14">
      <t>バアイ</t>
    </rPh>
    <rPh sb="17" eb="19">
      <t>イカ</t>
    </rPh>
    <rPh sb="20" eb="22">
      <t>キニュウ</t>
    </rPh>
    <phoneticPr fontId="2"/>
  </si>
  <si>
    <t>本店住所</t>
    <rPh sb="0" eb="2">
      <t>ホンテン</t>
    </rPh>
    <rPh sb="2" eb="4">
      <t>ジュウショ</t>
    </rPh>
    <phoneticPr fontId="2"/>
  </si>
  <si>
    <t>□</t>
    <phoneticPr fontId="2"/>
  </si>
  <si>
    <t>■</t>
    <phoneticPr fontId="2"/>
  </si>
  <si>
    <t>□</t>
  </si>
  <si>
    <t>0101</t>
    <phoneticPr fontId="2"/>
  </si>
  <si>
    <t>0102</t>
    <phoneticPr fontId="2"/>
  </si>
  <si>
    <t>0201</t>
    <phoneticPr fontId="2"/>
  </si>
  <si>
    <t>0301</t>
    <phoneticPr fontId="2"/>
  </si>
  <si>
    <t>0302</t>
    <phoneticPr fontId="2"/>
  </si>
  <si>
    <t>0303</t>
    <phoneticPr fontId="2"/>
  </si>
  <si>
    <t>0304</t>
    <phoneticPr fontId="2"/>
  </si>
  <si>
    <t>0305</t>
    <phoneticPr fontId="2"/>
  </si>
  <si>
    <t>0401</t>
    <phoneticPr fontId="2"/>
  </si>
  <si>
    <t>0402</t>
    <phoneticPr fontId="2"/>
  </si>
  <si>
    <t>0403</t>
    <phoneticPr fontId="2"/>
  </si>
  <si>
    <t>0404</t>
    <phoneticPr fontId="2"/>
  </si>
  <si>
    <t>0405</t>
    <phoneticPr fontId="2"/>
  </si>
  <si>
    <t>0406</t>
    <phoneticPr fontId="2"/>
  </si>
  <si>
    <t>0407</t>
    <phoneticPr fontId="2"/>
  </si>
  <si>
    <t>0408</t>
    <phoneticPr fontId="2"/>
  </si>
  <si>
    <t>0409</t>
    <phoneticPr fontId="2"/>
  </si>
  <si>
    <t>0410</t>
    <phoneticPr fontId="2"/>
  </si>
  <si>
    <t>0411</t>
    <phoneticPr fontId="2"/>
  </si>
  <si>
    <t>0501</t>
    <phoneticPr fontId="2"/>
  </si>
  <si>
    <t>0502</t>
    <phoneticPr fontId="2"/>
  </si>
  <si>
    <t>0503</t>
    <phoneticPr fontId="2"/>
  </si>
  <si>
    <t>0601</t>
    <phoneticPr fontId="2"/>
  </si>
  <si>
    <t>0602</t>
    <phoneticPr fontId="2"/>
  </si>
  <si>
    <t>0603</t>
    <phoneticPr fontId="2"/>
  </si>
  <si>
    <t>0701</t>
    <phoneticPr fontId="2"/>
  </si>
  <si>
    <t>0801</t>
    <phoneticPr fontId="2"/>
  </si>
  <si>
    <t>0802</t>
    <phoneticPr fontId="2"/>
  </si>
  <si>
    <t>0803</t>
    <phoneticPr fontId="2"/>
  </si>
  <si>
    <t>0804</t>
    <phoneticPr fontId="2"/>
  </si>
  <si>
    <t>0805</t>
    <phoneticPr fontId="2"/>
  </si>
  <si>
    <t>0901</t>
    <phoneticPr fontId="2"/>
  </si>
  <si>
    <t>0902</t>
    <phoneticPr fontId="2"/>
  </si>
  <si>
    <t>0903</t>
    <phoneticPr fontId="2"/>
  </si>
  <si>
    <t>0904</t>
    <phoneticPr fontId="2"/>
  </si>
  <si>
    <t>0905</t>
    <phoneticPr fontId="2"/>
  </si>
  <si>
    <t>0906</t>
    <phoneticPr fontId="2"/>
  </si>
  <si>
    <t>0907</t>
    <phoneticPr fontId="2"/>
  </si>
  <si>
    <t>0908</t>
    <phoneticPr fontId="2"/>
  </si>
  <si>
    <t>0909</t>
    <phoneticPr fontId="2"/>
  </si>
  <si>
    <t>0910</t>
    <phoneticPr fontId="2"/>
  </si>
  <si>
    <t>0911</t>
    <phoneticPr fontId="2"/>
  </si>
  <si>
    <t>0912</t>
    <phoneticPr fontId="2"/>
  </si>
  <si>
    <t>0913</t>
    <phoneticPr fontId="2"/>
  </si>
  <si>
    <t>0914</t>
    <phoneticPr fontId="2"/>
  </si>
  <si>
    <r>
      <t>２   代理人を選定した場合は、</t>
    </r>
    <r>
      <rPr>
        <sz val="10"/>
        <rFont val="ＭＳ Ｐゴシック"/>
        <family val="3"/>
        <charset val="128"/>
      </rPr>
      <t>代理人の名前で、契約、請求することとなります</t>
    </r>
    <r>
      <rPr>
        <sz val="10"/>
        <rFont val="ＭＳ Ｐ明朝"/>
        <family val="1"/>
        <charset val="128"/>
      </rPr>
      <t>。</t>
    </r>
    <rPh sb="4" eb="7">
      <t>ダイリニン</t>
    </rPh>
    <rPh sb="8" eb="10">
      <t>センテイ</t>
    </rPh>
    <rPh sb="12" eb="14">
      <t>バアイ</t>
    </rPh>
    <rPh sb="16" eb="19">
      <t>ダイリニン</t>
    </rPh>
    <rPh sb="20" eb="22">
      <t>ナマエ</t>
    </rPh>
    <rPh sb="24" eb="26">
      <t>ケイヤク</t>
    </rPh>
    <rPh sb="27" eb="29">
      <t>セイキュウ</t>
    </rPh>
    <phoneticPr fontId="2"/>
  </si>
  <si>
    <r>
      <t xml:space="preserve">４   </t>
    </r>
    <r>
      <rPr>
        <u/>
        <sz val="10"/>
        <rFont val="ＭＳ Ｐゴシック"/>
        <family val="3"/>
        <charset val="128"/>
      </rPr>
      <t>「支店等名称」は、「商号又は名称」から記載</t>
    </r>
    <r>
      <rPr>
        <sz val="10"/>
        <rFont val="ＭＳ Ｐ明朝"/>
        <family val="1"/>
        <charset val="128"/>
      </rPr>
      <t>してください。</t>
    </r>
    <rPh sb="5" eb="7">
      <t>シテン</t>
    </rPh>
    <rPh sb="7" eb="8">
      <t>トウ</t>
    </rPh>
    <rPh sb="8" eb="10">
      <t>メイショウ</t>
    </rPh>
    <rPh sb="14" eb="16">
      <t>ショウゴウ</t>
    </rPh>
    <rPh sb="16" eb="17">
      <t>マタ</t>
    </rPh>
    <rPh sb="18" eb="20">
      <t>メイショウ</t>
    </rPh>
    <rPh sb="23" eb="25">
      <t>キサイ</t>
    </rPh>
    <phoneticPr fontId="2"/>
  </si>
  <si>
    <t>代理人を置く場合は、代理人の印を使用することとなるため、代表者の使用印鑑は登録不要です。</t>
    <rPh sb="0" eb="3">
      <t>ダイリニン</t>
    </rPh>
    <rPh sb="4" eb="5">
      <t>オ</t>
    </rPh>
    <rPh sb="6" eb="8">
      <t>バアイ</t>
    </rPh>
    <rPh sb="10" eb="13">
      <t>ダイリニン</t>
    </rPh>
    <rPh sb="14" eb="15">
      <t>イン</t>
    </rPh>
    <rPh sb="16" eb="18">
      <t>シヨウ</t>
    </rPh>
    <rPh sb="28" eb="31">
      <t>ダイヒョウシャ</t>
    </rPh>
    <rPh sb="32" eb="34">
      <t>シヨウ</t>
    </rPh>
    <rPh sb="34" eb="36">
      <t>インカン</t>
    </rPh>
    <rPh sb="37" eb="39">
      <t>トウロク</t>
    </rPh>
    <rPh sb="39" eb="41">
      <t>フヨウ</t>
    </rPh>
    <phoneticPr fontId="2"/>
  </si>
  <si>
    <t>代理人を置かない場合で、入札当日の委任状、入札書、契約書、請求書の代表者印に実印以外</t>
    <rPh sb="0" eb="3">
      <t>ダイリニン</t>
    </rPh>
    <rPh sb="4" eb="5">
      <t>オ</t>
    </rPh>
    <rPh sb="8" eb="10">
      <t>バアイ</t>
    </rPh>
    <rPh sb="12" eb="14">
      <t>ニュウサツ</t>
    </rPh>
    <rPh sb="14" eb="16">
      <t>トウジツ</t>
    </rPh>
    <rPh sb="17" eb="19">
      <t>イニン</t>
    </rPh>
    <rPh sb="19" eb="20">
      <t>ジョウ</t>
    </rPh>
    <rPh sb="21" eb="23">
      <t>ニュウサツ</t>
    </rPh>
    <rPh sb="23" eb="24">
      <t>ショ</t>
    </rPh>
    <rPh sb="25" eb="27">
      <t>ケイヤク</t>
    </rPh>
    <rPh sb="27" eb="28">
      <t>ショ</t>
    </rPh>
    <rPh sb="29" eb="31">
      <t>セイキュウ</t>
    </rPh>
    <rPh sb="31" eb="32">
      <t>ショ</t>
    </rPh>
    <rPh sb="33" eb="36">
      <t>ダイヒョウシャ</t>
    </rPh>
    <rPh sb="36" eb="37">
      <t>イン</t>
    </rPh>
    <rPh sb="38" eb="40">
      <t>ジツイン</t>
    </rPh>
    <phoneticPr fontId="2"/>
  </si>
  <si>
    <t xml:space="preserve">  の印鑑を使用する場合に「登録する」を選択してください。</t>
    <rPh sb="3" eb="5">
      <t>インカン</t>
    </rPh>
    <rPh sb="6" eb="8">
      <t>シヨウ</t>
    </rPh>
    <rPh sb="10" eb="12">
      <t>バアイ</t>
    </rPh>
    <rPh sb="14" eb="16">
      <t>トウロク</t>
    </rPh>
    <rPh sb="20" eb="22">
      <t>センタク</t>
    </rPh>
    <phoneticPr fontId="2"/>
  </si>
  <si>
    <r>
      <t xml:space="preserve">加入していない場合、理由を記入してください。
</t>
    </r>
    <r>
      <rPr>
        <sz val="9"/>
        <rFont val="ＭＳ Ｐゴシック"/>
        <family val="3"/>
        <charset val="128"/>
      </rPr>
      <t>（例：労働時間が少ないので対象者に含まれない）</t>
    </r>
    <rPh sb="0" eb="2">
      <t>カニュウ</t>
    </rPh>
    <rPh sb="7" eb="9">
      <t>バアイ</t>
    </rPh>
    <rPh sb="10" eb="12">
      <t>リユウ</t>
    </rPh>
    <rPh sb="13" eb="15">
      <t>キニュウ</t>
    </rPh>
    <rPh sb="24" eb="25">
      <t>レイ</t>
    </rPh>
    <rPh sb="26" eb="28">
      <t>ロウドウ</t>
    </rPh>
    <rPh sb="28" eb="30">
      <t>ジカン</t>
    </rPh>
    <rPh sb="31" eb="32">
      <t>スク</t>
    </rPh>
    <rPh sb="36" eb="39">
      <t>タイショウシャ</t>
    </rPh>
    <rPh sb="40" eb="41">
      <t>フク</t>
    </rPh>
    <phoneticPr fontId="2"/>
  </si>
  <si>
    <t>加入して　　　　　　　　いる</t>
    <rPh sb="0" eb="2">
      <t>カニュウ</t>
    </rPh>
    <phoneticPr fontId="2"/>
  </si>
  <si>
    <t>加入して　　　　　　　　いない</t>
    <rPh sb="0" eb="2">
      <t>カニュウ</t>
    </rPh>
    <phoneticPr fontId="2"/>
  </si>
  <si>
    <r>
      <t xml:space="preserve">加入していない場合、理由を記入してください。
</t>
    </r>
    <r>
      <rPr>
        <sz val="9"/>
        <rFont val="ＭＳ Ｐゴシック"/>
        <family val="3"/>
        <charset val="128"/>
      </rPr>
      <t>（例：雇用している従業員がいないため）</t>
    </r>
    <rPh sb="0" eb="2">
      <t>カニュウ</t>
    </rPh>
    <rPh sb="7" eb="9">
      <t>バアイ</t>
    </rPh>
    <rPh sb="10" eb="12">
      <t>リユウ</t>
    </rPh>
    <rPh sb="13" eb="15">
      <t>キニュウ</t>
    </rPh>
    <rPh sb="24" eb="25">
      <t>レイ</t>
    </rPh>
    <rPh sb="26" eb="28">
      <t>コヨウ</t>
    </rPh>
    <rPh sb="32" eb="35">
      <t>ジュウギョウイン</t>
    </rPh>
    <phoneticPr fontId="2"/>
  </si>
  <si>
    <t>遵守して　　　　　いる</t>
    <rPh sb="0" eb="2">
      <t>ジュンシュ</t>
    </rPh>
    <phoneticPr fontId="2"/>
  </si>
  <si>
    <t>遵守して　　　　　　　　　いない</t>
    <rPh sb="0" eb="2">
      <t>ジュンシュ</t>
    </rPh>
    <phoneticPr fontId="2"/>
  </si>
  <si>
    <t>行って　　　　　　いる</t>
    <rPh sb="0" eb="1">
      <t>オコナ</t>
    </rPh>
    <phoneticPr fontId="2"/>
  </si>
  <si>
    <t>行って　　　　　　　いない</t>
    <rPh sb="0" eb="1">
      <t>オコナ</t>
    </rPh>
    <phoneticPr fontId="2"/>
  </si>
  <si>
    <t>（個人事業主は記載しない。）</t>
    <rPh sb="7" eb="9">
      <t>キサイ</t>
    </rPh>
    <phoneticPr fontId="2"/>
  </si>
  <si>
    <t>物品の販売、物品の製造の請負、物品の賃貸借、役務の提供</t>
    <rPh sb="0" eb="2">
      <t>ブッピン</t>
    </rPh>
    <rPh sb="3" eb="5">
      <t>ハンバイ</t>
    </rPh>
    <rPh sb="6" eb="8">
      <t>ブッピン</t>
    </rPh>
    <rPh sb="9" eb="11">
      <t>セイゾウ</t>
    </rPh>
    <rPh sb="12" eb="14">
      <t>ウケオイ</t>
    </rPh>
    <rPh sb="15" eb="17">
      <t>ブッピン</t>
    </rPh>
    <rPh sb="18" eb="21">
      <t>チンタイシャク</t>
    </rPh>
    <rPh sb="19" eb="21">
      <t>タイシャク</t>
    </rPh>
    <rPh sb="22" eb="24">
      <t>エキム</t>
    </rPh>
    <rPh sb="25" eb="27">
      <t>テイキョウ</t>
    </rPh>
    <phoneticPr fontId="2"/>
  </si>
  <si>
    <t>役務の提供</t>
    <rPh sb="0" eb="2">
      <t>エキム</t>
    </rPh>
    <rPh sb="3" eb="5">
      <t>テイキョウ</t>
    </rPh>
    <phoneticPr fontId="2"/>
  </si>
  <si>
    <t>印刷・印章</t>
    <rPh sb="0" eb="2">
      <t>インサツ</t>
    </rPh>
    <rPh sb="3" eb="5">
      <t>インショウ</t>
    </rPh>
    <phoneticPr fontId="2"/>
  </si>
  <si>
    <t>一般印刷</t>
    <rPh sb="0" eb="2">
      <t>イッパン</t>
    </rPh>
    <rPh sb="2" eb="4">
      <t>インサツ</t>
    </rPh>
    <phoneticPr fontId="2"/>
  </si>
  <si>
    <t>地図作成</t>
    <rPh sb="0" eb="2">
      <t>チズ</t>
    </rPh>
    <rPh sb="2" eb="4">
      <t>サクセイ</t>
    </rPh>
    <phoneticPr fontId="2"/>
  </si>
  <si>
    <t>特殊印刷</t>
    <rPh sb="0" eb="2">
      <t>トクシュ</t>
    </rPh>
    <rPh sb="2" eb="4">
      <t>インサツ</t>
    </rPh>
    <phoneticPr fontId="2"/>
  </si>
  <si>
    <t>青写真、マイクロ写真</t>
    <rPh sb="0" eb="1">
      <t>アオ</t>
    </rPh>
    <rPh sb="1" eb="3">
      <t>シャシン</t>
    </rPh>
    <rPh sb="8" eb="10">
      <t>シャシン</t>
    </rPh>
    <phoneticPr fontId="2"/>
  </si>
  <si>
    <t>その他印刷・印章業務</t>
    <rPh sb="2" eb="3">
      <t>タ</t>
    </rPh>
    <rPh sb="3" eb="5">
      <t>インサツ</t>
    </rPh>
    <rPh sb="6" eb="8">
      <t>インショウ</t>
    </rPh>
    <rPh sb="8" eb="10">
      <t>ギョウム</t>
    </rPh>
    <phoneticPr fontId="2"/>
  </si>
  <si>
    <t>道路・公園・森林等</t>
    <rPh sb="0" eb="2">
      <t>ドウロ</t>
    </rPh>
    <rPh sb="3" eb="5">
      <t>コウエン</t>
    </rPh>
    <rPh sb="6" eb="8">
      <t>シンリン</t>
    </rPh>
    <rPh sb="8" eb="9">
      <t>トウ</t>
    </rPh>
    <phoneticPr fontId="2"/>
  </si>
  <si>
    <t>維持管理</t>
    <rPh sb="0" eb="2">
      <t>イジ</t>
    </rPh>
    <rPh sb="2" eb="4">
      <t>カンリ</t>
    </rPh>
    <phoneticPr fontId="2"/>
  </si>
  <si>
    <t>取　扱　業　務（取扱業務にチェックマークを付して下さい。）</t>
    <rPh sb="0" eb="1">
      <t>トリ</t>
    </rPh>
    <rPh sb="2" eb="3">
      <t>アツカ</t>
    </rPh>
    <rPh sb="4" eb="5">
      <t>ギョウ</t>
    </rPh>
    <rPh sb="6" eb="7">
      <t>ツトム</t>
    </rPh>
    <rPh sb="8" eb="10">
      <t>トリアツカ</t>
    </rPh>
    <rPh sb="10" eb="12">
      <t>ギョウム</t>
    </rPh>
    <rPh sb="21" eb="22">
      <t>フ</t>
    </rPh>
    <rPh sb="24" eb="25">
      <t>クダ</t>
    </rPh>
    <phoneticPr fontId="2"/>
  </si>
  <si>
    <t>道路・公園等の清掃</t>
    <rPh sb="0" eb="2">
      <t>ドウロ</t>
    </rPh>
    <rPh sb="3" eb="5">
      <t>コウエン</t>
    </rPh>
    <rPh sb="5" eb="6">
      <t>トウ</t>
    </rPh>
    <rPh sb="7" eb="9">
      <t>セイソウ</t>
    </rPh>
    <phoneticPr fontId="2"/>
  </si>
  <si>
    <t>樹木の維持管理</t>
    <rPh sb="0" eb="2">
      <t>ジュモク</t>
    </rPh>
    <rPh sb="3" eb="5">
      <t>イジ</t>
    </rPh>
    <rPh sb="5" eb="7">
      <t>カンリ</t>
    </rPh>
    <phoneticPr fontId="2"/>
  </si>
  <si>
    <t>駐車場管理</t>
    <rPh sb="0" eb="3">
      <t>チュウシャジョウ</t>
    </rPh>
    <rPh sb="3" eb="5">
      <t>カンリ</t>
    </rPh>
    <phoneticPr fontId="2"/>
  </si>
  <si>
    <t>森林伐採等</t>
    <rPh sb="0" eb="2">
      <t>シンリン</t>
    </rPh>
    <rPh sb="2" eb="4">
      <t>バッサイ</t>
    </rPh>
    <rPh sb="4" eb="5">
      <t>トウ</t>
    </rPh>
    <phoneticPr fontId="2"/>
  </si>
  <si>
    <t>その他道路・公園・森林等維持管理業務</t>
    <rPh sb="2" eb="3">
      <t>タ</t>
    </rPh>
    <rPh sb="3" eb="5">
      <t>ドウロ</t>
    </rPh>
    <rPh sb="6" eb="8">
      <t>コウエン</t>
    </rPh>
    <rPh sb="9" eb="11">
      <t>シンリン</t>
    </rPh>
    <rPh sb="11" eb="12">
      <t>トウ</t>
    </rPh>
    <rPh sb="12" eb="14">
      <t>イジ</t>
    </rPh>
    <rPh sb="14" eb="16">
      <t>カンリ</t>
    </rPh>
    <rPh sb="16" eb="18">
      <t>ギョウム</t>
    </rPh>
    <phoneticPr fontId="2"/>
  </si>
  <si>
    <t>保守点検</t>
    <rPh sb="0" eb="2">
      <t>ホシュ</t>
    </rPh>
    <rPh sb="2" eb="4">
      <t>テンケン</t>
    </rPh>
    <phoneticPr fontId="2"/>
  </si>
  <si>
    <t>電気設備保守点検</t>
    <rPh sb="0" eb="2">
      <t>デンキ</t>
    </rPh>
    <rPh sb="2" eb="4">
      <t>セツビ</t>
    </rPh>
    <rPh sb="4" eb="6">
      <t>ホシュ</t>
    </rPh>
    <rPh sb="6" eb="8">
      <t>テンケン</t>
    </rPh>
    <phoneticPr fontId="2"/>
  </si>
  <si>
    <t>通信設備保守点検</t>
    <rPh sb="0" eb="2">
      <t>ツウシン</t>
    </rPh>
    <rPh sb="2" eb="4">
      <t>セツビ</t>
    </rPh>
    <rPh sb="4" eb="6">
      <t>ホシュ</t>
    </rPh>
    <rPh sb="6" eb="8">
      <t>テンケン</t>
    </rPh>
    <phoneticPr fontId="2"/>
  </si>
  <si>
    <t>空調設備保守点検</t>
    <rPh sb="0" eb="2">
      <t>クウチョウ</t>
    </rPh>
    <rPh sb="2" eb="8">
      <t>セツビホシュテンケン</t>
    </rPh>
    <phoneticPr fontId="2"/>
  </si>
  <si>
    <t>電算機器保守点検</t>
    <rPh sb="0" eb="2">
      <t>デンサン</t>
    </rPh>
    <rPh sb="2" eb="4">
      <t>キキ</t>
    </rPh>
    <rPh sb="4" eb="6">
      <t>ホシュ</t>
    </rPh>
    <rPh sb="6" eb="8">
      <t>テンケン</t>
    </rPh>
    <phoneticPr fontId="2"/>
  </si>
  <si>
    <t>印刷機器保守点検</t>
    <rPh sb="0" eb="2">
      <t>インサツ</t>
    </rPh>
    <rPh sb="2" eb="4">
      <t>キキ</t>
    </rPh>
    <rPh sb="4" eb="6">
      <t>ホシュ</t>
    </rPh>
    <rPh sb="6" eb="8">
      <t>テンケン</t>
    </rPh>
    <phoneticPr fontId="2"/>
  </si>
  <si>
    <t>その他保守点検業務</t>
    <rPh sb="2" eb="3">
      <t>タ</t>
    </rPh>
    <rPh sb="3" eb="5">
      <t>ホシュ</t>
    </rPh>
    <rPh sb="5" eb="7">
      <t>テンケン</t>
    </rPh>
    <rPh sb="7" eb="9">
      <t>ギョウム</t>
    </rPh>
    <phoneticPr fontId="2"/>
  </si>
  <si>
    <t>検査・測定・調査業務</t>
    <rPh sb="0" eb="2">
      <t>ケンサ</t>
    </rPh>
    <rPh sb="3" eb="5">
      <t>ソクテイ</t>
    </rPh>
    <rPh sb="6" eb="8">
      <t>チョウサ</t>
    </rPh>
    <rPh sb="8" eb="10">
      <t>ギョウム</t>
    </rPh>
    <phoneticPr fontId="2"/>
  </si>
  <si>
    <t>大気・水質・土質検査</t>
    <rPh sb="0" eb="2">
      <t>タイキ</t>
    </rPh>
    <rPh sb="3" eb="5">
      <t>スイシツ</t>
    </rPh>
    <rPh sb="6" eb="7">
      <t>ツチ</t>
    </rPh>
    <rPh sb="7" eb="8">
      <t>シツ</t>
    </rPh>
    <rPh sb="8" eb="10">
      <t>ケンサ</t>
    </rPh>
    <phoneticPr fontId="2"/>
  </si>
  <si>
    <t>環境アセスメント調査</t>
    <rPh sb="0" eb="2">
      <t>カンキョウ</t>
    </rPh>
    <rPh sb="8" eb="10">
      <t>チョウサ</t>
    </rPh>
    <phoneticPr fontId="2"/>
  </si>
  <si>
    <t>理化学検査・分析</t>
    <rPh sb="0" eb="3">
      <t>リカガク</t>
    </rPh>
    <rPh sb="3" eb="5">
      <t>ケンサ</t>
    </rPh>
    <rPh sb="6" eb="8">
      <t>ブンセキ</t>
    </rPh>
    <phoneticPr fontId="2"/>
  </si>
  <si>
    <t>その他検査・測定業務</t>
    <rPh sb="2" eb="3">
      <t>タ</t>
    </rPh>
    <rPh sb="3" eb="5">
      <t>ケンサ</t>
    </rPh>
    <rPh sb="6" eb="8">
      <t>ソクテイ</t>
    </rPh>
    <rPh sb="8" eb="10">
      <t>ギョウム</t>
    </rPh>
    <phoneticPr fontId="2"/>
  </si>
  <si>
    <t>運送・運行</t>
    <rPh sb="0" eb="2">
      <t>ウンソウ</t>
    </rPh>
    <rPh sb="3" eb="5">
      <t>ウンコウ</t>
    </rPh>
    <phoneticPr fontId="2"/>
  </si>
  <si>
    <t>観光バス運行</t>
    <rPh sb="0" eb="2">
      <t>カンコウ</t>
    </rPh>
    <rPh sb="4" eb="6">
      <t>ウンコウ</t>
    </rPh>
    <phoneticPr fontId="2"/>
  </si>
  <si>
    <t>車両運転業務</t>
    <rPh sb="0" eb="2">
      <t>シャリョウ</t>
    </rPh>
    <rPh sb="2" eb="4">
      <t>ウンテン</t>
    </rPh>
    <rPh sb="4" eb="6">
      <t>ギョウム</t>
    </rPh>
    <phoneticPr fontId="2"/>
  </si>
  <si>
    <t>その他運送・運行業務</t>
    <rPh sb="2" eb="3">
      <t>タ</t>
    </rPh>
    <rPh sb="3" eb="5">
      <t>ウンソウ</t>
    </rPh>
    <rPh sb="6" eb="8">
      <t>ウンコウ</t>
    </rPh>
    <rPh sb="8" eb="10">
      <t>ギョウム</t>
    </rPh>
    <phoneticPr fontId="2"/>
  </si>
  <si>
    <t>給食</t>
    <rPh sb="0" eb="2">
      <t>キュウショク</t>
    </rPh>
    <phoneticPr fontId="2"/>
  </si>
  <si>
    <t>学校給食</t>
    <rPh sb="0" eb="2">
      <t>ガッコウ</t>
    </rPh>
    <rPh sb="2" eb="4">
      <t>キュウショク</t>
    </rPh>
    <phoneticPr fontId="2"/>
  </si>
  <si>
    <t>病院給食</t>
    <rPh sb="0" eb="2">
      <t>ビョウイン</t>
    </rPh>
    <rPh sb="2" eb="4">
      <t>キュウショク</t>
    </rPh>
    <phoneticPr fontId="2"/>
  </si>
  <si>
    <t>その他給食業務</t>
    <rPh sb="2" eb="3">
      <t>タ</t>
    </rPh>
    <rPh sb="3" eb="5">
      <t>キュウショク</t>
    </rPh>
    <rPh sb="5" eb="7">
      <t>ギョウム</t>
    </rPh>
    <phoneticPr fontId="2"/>
  </si>
  <si>
    <t>制作等</t>
    <rPh sb="0" eb="2">
      <t>セイサク</t>
    </rPh>
    <rPh sb="2" eb="3">
      <t>トウ</t>
    </rPh>
    <phoneticPr fontId="2"/>
  </si>
  <si>
    <t>ホームページ</t>
    <phoneticPr fontId="2"/>
  </si>
  <si>
    <t>パンフレット</t>
    <phoneticPr fontId="2"/>
  </si>
  <si>
    <t>看板・案内板</t>
    <rPh sb="0" eb="2">
      <t>カンバン</t>
    </rPh>
    <rPh sb="3" eb="6">
      <t>アンナイバン</t>
    </rPh>
    <phoneticPr fontId="2"/>
  </si>
  <si>
    <t>その他制作業務</t>
    <rPh sb="2" eb="3">
      <t>タ</t>
    </rPh>
    <rPh sb="3" eb="5">
      <t>セイサク</t>
    </rPh>
    <rPh sb="5" eb="7">
      <t>ギョウム</t>
    </rPh>
    <phoneticPr fontId="2"/>
  </si>
  <si>
    <t>計画策定</t>
    <rPh sb="0" eb="2">
      <t>ケイカク</t>
    </rPh>
    <rPh sb="2" eb="4">
      <t>サクテイ</t>
    </rPh>
    <phoneticPr fontId="2"/>
  </si>
  <si>
    <t>福祉計画</t>
    <rPh sb="0" eb="2">
      <t>フクシ</t>
    </rPh>
    <rPh sb="2" eb="4">
      <t>ケイカク</t>
    </rPh>
    <phoneticPr fontId="2"/>
  </si>
  <si>
    <t>総合計画</t>
    <rPh sb="0" eb="2">
      <t>ソウゴウ</t>
    </rPh>
    <rPh sb="2" eb="4">
      <t>ケイカク</t>
    </rPh>
    <phoneticPr fontId="2"/>
  </si>
  <si>
    <t>その他計画策定業務</t>
    <rPh sb="2" eb="3">
      <t>タ</t>
    </rPh>
    <rPh sb="3" eb="5">
      <t>ケイカク</t>
    </rPh>
    <rPh sb="5" eb="7">
      <t>サクテイ</t>
    </rPh>
    <rPh sb="7" eb="9">
      <t>ギョウム</t>
    </rPh>
    <phoneticPr fontId="2"/>
  </si>
  <si>
    <t>電算</t>
    <rPh sb="0" eb="2">
      <t>デンサン</t>
    </rPh>
    <phoneticPr fontId="2"/>
  </si>
  <si>
    <t>システム・プログラム開発</t>
    <rPh sb="10" eb="12">
      <t>カイハツ</t>
    </rPh>
    <phoneticPr fontId="2"/>
  </si>
  <si>
    <t>電算処理</t>
    <rPh sb="0" eb="2">
      <t>デンサン</t>
    </rPh>
    <rPh sb="2" eb="4">
      <t>ショリ</t>
    </rPh>
    <phoneticPr fontId="2"/>
  </si>
  <si>
    <t>システム保守</t>
    <rPh sb="4" eb="6">
      <t>ホシュ</t>
    </rPh>
    <phoneticPr fontId="2"/>
  </si>
  <si>
    <t>データ入力</t>
    <rPh sb="3" eb="5">
      <t>ニュウリョク</t>
    </rPh>
    <phoneticPr fontId="2"/>
  </si>
  <si>
    <t>その他電算業務</t>
    <rPh sb="2" eb="3">
      <t>タ</t>
    </rPh>
    <rPh sb="3" eb="5">
      <t>デンサン</t>
    </rPh>
    <rPh sb="5" eb="7">
      <t>ギョウム</t>
    </rPh>
    <phoneticPr fontId="2"/>
  </si>
  <si>
    <t>人材派遣</t>
    <rPh sb="0" eb="2">
      <t>ジンザイ</t>
    </rPh>
    <rPh sb="2" eb="4">
      <t>ハケン</t>
    </rPh>
    <phoneticPr fontId="2"/>
  </si>
  <si>
    <t>ストレスチェック</t>
    <phoneticPr fontId="2"/>
  </si>
  <si>
    <t>清掃業務</t>
    <rPh sb="0" eb="2">
      <t>セイソウ</t>
    </rPh>
    <rPh sb="2" eb="4">
      <t>ギョウム</t>
    </rPh>
    <phoneticPr fontId="2"/>
  </si>
  <si>
    <t>警備業務</t>
    <rPh sb="0" eb="2">
      <t>ケイビ</t>
    </rPh>
    <rPh sb="2" eb="4">
      <t>ギョウム</t>
    </rPh>
    <phoneticPr fontId="2"/>
  </si>
  <si>
    <t>物品の賃貸借</t>
    <rPh sb="0" eb="2">
      <t>ブッピン</t>
    </rPh>
    <rPh sb="3" eb="6">
      <t>チンタイシャク</t>
    </rPh>
    <phoneticPr fontId="2"/>
  </si>
  <si>
    <t>取　扱　品　目（取扱品目にチェックマークを付して下さい。）</t>
    <rPh sb="0" eb="1">
      <t>トリ</t>
    </rPh>
    <rPh sb="2" eb="3">
      <t>アツカ</t>
    </rPh>
    <rPh sb="4" eb="5">
      <t>ヒン</t>
    </rPh>
    <rPh sb="6" eb="7">
      <t>モク</t>
    </rPh>
    <rPh sb="8" eb="10">
      <t>トリアツカ</t>
    </rPh>
    <rPh sb="10" eb="12">
      <t>ヒンモク</t>
    </rPh>
    <rPh sb="21" eb="22">
      <t>フ</t>
    </rPh>
    <rPh sb="24" eb="25">
      <t>クダ</t>
    </rPh>
    <phoneticPr fontId="2"/>
  </si>
  <si>
    <t>コンピュータ機器</t>
    <rPh sb="6" eb="8">
      <t>キキ</t>
    </rPh>
    <phoneticPr fontId="2"/>
  </si>
  <si>
    <t>複写機・印刷機</t>
    <rPh sb="0" eb="3">
      <t>フクシャキ</t>
    </rPh>
    <rPh sb="4" eb="6">
      <t>インサツ</t>
    </rPh>
    <rPh sb="6" eb="7">
      <t>キ</t>
    </rPh>
    <phoneticPr fontId="2"/>
  </si>
  <si>
    <t>自動車</t>
    <rPh sb="0" eb="3">
      <t>ジドウシャ</t>
    </rPh>
    <phoneticPr fontId="2"/>
  </si>
  <si>
    <t>リース・レンタル</t>
    <phoneticPr fontId="2"/>
  </si>
  <si>
    <t>10</t>
    <phoneticPr fontId="2"/>
  </si>
  <si>
    <t>11</t>
  </si>
  <si>
    <t>11</t>
    <phoneticPr fontId="2"/>
  </si>
  <si>
    <t>役務の提供</t>
    <rPh sb="0" eb="2">
      <t>エキム</t>
    </rPh>
    <rPh sb="3" eb="5">
      <t>テイキョウ</t>
    </rPh>
    <phoneticPr fontId="2"/>
  </si>
  <si>
    <t>物品の賃貸借</t>
    <phoneticPr fontId="2"/>
  </si>
  <si>
    <t>道路・公園・森林等維持管理</t>
    <rPh sb="0" eb="2">
      <t>ドウロ</t>
    </rPh>
    <rPh sb="3" eb="5">
      <t>コウエン</t>
    </rPh>
    <rPh sb="6" eb="8">
      <t>シンリン</t>
    </rPh>
    <rPh sb="8" eb="9">
      <t>トウ</t>
    </rPh>
    <phoneticPr fontId="2"/>
  </si>
  <si>
    <t>役務の提供</t>
    <phoneticPr fontId="2"/>
  </si>
  <si>
    <t>1001</t>
    <phoneticPr fontId="2"/>
  </si>
  <si>
    <t>1002</t>
  </si>
  <si>
    <t>1003</t>
  </si>
  <si>
    <t>1004</t>
  </si>
  <si>
    <t>1005</t>
  </si>
  <si>
    <t>1006</t>
  </si>
  <si>
    <t>1007</t>
  </si>
  <si>
    <t>1008</t>
  </si>
  <si>
    <t>1009</t>
  </si>
  <si>
    <t>1010</t>
  </si>
  <si>
    <t>1101</t>
    <phoneticPr fontId="2"/>
  </si>
  <si>
    <t>リース・レンタル</t>
    <phoneticPr fontId="2"/>
  </si>
  <si>
    <t>物　品　等　入　札　参　加　資　格　審　査　申　請　書</t>
    <rPh sb="0" eb="1">
      <t>モノ</t>
    </rPh>
    <rPh sb="2" eb="3">
      <t>シナ</t>
    </rPh>
    <rPh sb="4" eb="5">
      <t>トウ</t>
    </rPh>
    <rPh sb="6" eb="7">
      <t>イリ</t>
    </rPh>
    <rPh sb="8" eb="9">
      <t>サツ</t>
    </rPh>
    <rPh sb="10" eb="11">
      <t>サン</t>
    </rPh>
    <rPh sb="12" eb="13">
      <t>カ</t>
    </rPh>
    <rPh sb="14" eb="15">
      <t>シ</t>
    </rPh>
    <rPh sb="16" eb="17">
      <t>カク</t>
    </rPh>
    <rPh sb="18" eb="19">
      <t>シン</t>
    </rPh>
    <rPh sb="20" eb="21">
      <t>サ</t>
    </rPh>
    <rPh sb="22" eb="23">
      <t>サル</t>
    </rPh>
    <rPh sb="24" eb="25">
      <t>ショウ</t>
    </rPh>
    <rPh sb="26" eb="27">
      <t>ショ</t>
    </rPh>
    <phoneticPr fontId="2"/>
  </si>
  <si>
    <t>入札等の参加希望営業種目（第１号様式 別紙４「営業種目表」を参照）</t>
    <rPh sb="0" eb="2">
      <t>ニュウサツ</t>
    </rPh>
    <rPh sb="2" eb="3">
      <t>トウ</t>
    </rPh>
    <rPh sb="4" eb="6">
      <t>サンカ</t>
    </rPh>
    <rPh sb="6" eb="8">
      <t>キボウ</t>
    </rPh>
    <rPh sb="8" eb="10">
      <t>エイギョウ</t>
    </rPh>
    <rPh sb="10" eb="12">
      <t>シュモク</t>
    </rPh>
    <rPh sb="13" eb="14">
      <t>ダイ</t>
    </rPh>
    <rPh sb="15" eb="16">
      <t>ゴウ</t>
    </rPh>
    <rPh sb="16" eb="18">
      <t>ヨウシキ</t>
    </rPh>
    <rPh sb="19" eb="21">
      <t>ベッシ</t>
    </rPh>
    <rPh sb="23" eb="25">
      <t>エイギョウ</t>
    </rPh>
    <rPh sb="25" eb="27">
      <t>シュモク</t>
    </rPh>
    <rPh sb="27" eb="28">
      <t>ヒョウ</t>
    </rPh>
    <rPh sb="30" eb="32">
      <t>サンショウ</t>
    </rPh>
    <phoneticPr fontId="2"/>
  </si>
  <si>
    <r>
      <t>注　有効期限が</t>
    </r>
    <r>
      <rPr>
        <u/>
        <sz val="10"/>
        <rFont val="ＭＳ Ｐ明朝"/>
        <family val="1"/>
        <charset val="128"/>
      </rPr>
      <t>R8.3.31以前のものは登録できません</t>
    </r>
    <r>
      <rPr>
        <sz val="10"/>
        <rFont val="ＭＳ Ｐ明朝"/>
        <family val="1"/>
        <charset val="128"/>
      </rPr>
      <t>。有効期限を確認した上で記載してください。</t>
    </r>
    <rPh sb="0" eb="1">
      <t>チュウ</t>
    </rPh>
    <rPh sb="2" eb="4">
      <t>ユウコウ</t>
    </rPh>
    <rPh sb="4" eb="6">
      <t>キゲン</t>
    </rPh>
    <rPh sb="14" eb="16">
      <t>イゼン</t>
    </rPh>
    <rPh sb="20" eb="22">
      <t>トウロク</t>
    </rPh>
    <rPh sb="28" eb="30">
      <t>ユウコウ</t>
    </rPh>
    <rPh sb="30" eb="32">
      <t>キゲン</t>
    </rPh>
    <rPh sb="33" eb="35">
      <t>カクニン</t>
    </rPh>
    <rPh sb="37" eb="38">
      <t>ウエ</t>
    </rPh>
    <rPh sb="39" eb="41">
      <t>キサイ</t>
    </rPh>
    <phoneticPr fontId="2"/>
  </si>
  <si>
    <t xml:space="preserve"> 　　R8.3.31以前に期限が切れる場合で登録を希望する場合は、上記の欄は「該当なし」とし、</t>
    <rPh sb="10" eb="12">
      <t>イゼン</t>
    </rPh>
    <rPh sb="13" eb="15">
      <t>キゲン</t>
    </rPh>
    <rPh sb="16" eb="17">
      <t>キ</t>
    </rPh>
    <rPh sb="19" eb="21">
      <t>バアイ</t>
    </rPh>
    <rPh sb="22" eb="24">
      <t>トウロク</t>
    </rPh>
    <rPh sb="25" eb="27">
      <t>キボウ</t>
    </rPh>
    <rPh sb="29" eb="31">
      <t>バアイ</t>
    </rPh>
    <rPh sb="33" eb="35">
      <t>ジョウキ</t>
    </rPh>
    <rPh sb="36" eb="37">
      <t>ラン</t>
    </rPh>
    <rPh sb="39" eb="41">
      <t>ガイトウ</t>
    </rPh>
    <phoneticPr fontId="2"/>
  </si>
  <si>
    <t>　　 認証等の更新後、R8.4.1以降に 変更届を提出してください。</t>
    <phoneticPr fontId="2"/>
  </si>
  <si>
    <t>１　業種及び従業員数</t>
    <rPh sb="2" eb="4">
      <t>ギョウシュ</t>
    </rPh>
    <rPh sb="4" eb="5">
      <t>オヨ</t>
    </rPh>
    <rPh sb="6" eb="9">
      <t>ジュウギョウイン</t>
    </rPh>
    <rPh sb="9" eb="10">
      <t>スウ</t>
    </rPh>
    <phoneticPr fontId="2"/>
  </si>
  <si>
    <t>２　設立年月日（法人：登記上の年月日）・事業開始年月日 (個人)</t>
    <rPh sb="2" eb="4">
      <t>セツリツ</t>
    </rPh>
    <rPh sb="4" eb="7">
      <t>ネンガッピ</t>
    </rPh>
    <rPh sb="8" eb="10">
      <t>ホウジン</t>
    </rPh>
    <rPh sb="11" eb="14">
      <t>トウキジョウ</t>
    </rPh>
    <rPh sb="15" eb="18">
      <t>ネンガッピ</t>
    </rPh>
    <rPh sb="20" eb="22">
      <t>ジギョウ</t>
    </rPh>
    <rPh sb="22" eb="24">
      <t>カイシ</t>
    </rPh>
    <rPh sb="24" eb="27">
      <t>ネンガッピ</t>
    </rPh>
    <rPh sb="29" eb="31">
      <t>コジン</t>
    </rPh>
    <phoneticPr fontId="2"/>
  </si>
  <si>
    <t>３　物品販売等に係る営業許認可等</t>
    <rPh sb="2" eb="4">
      <t>ブッピン</t>
    </rPh>
    <rPh sb="4" eb="6">
      <t>ハンバイ</t>
    </rPh>
    <rPh sb="6" eb="7">
      <t>トウ</t>
    </rPh>
    <rPh sb="8" eb="9">
      <t>カカ</t>
    </rPh>
    <rPh sb="10" eb="12">
      <t>エイギョウ</t>
    </rPh>
    <rPh sb="12" eb="15">
      <t>キョニンカ</t>
    </rPh>
    <rPh sb="15" eb="16">
      <t>トウ</t>
    </rPh>
    <phoneticPr fontId="2"/>
  </si>
  <si>
    <t>４　経営状況等</t>
    <rPh sb="2" eb="4">
      <t>ケイエイ</t>
    </rPh>
    <rPh sb="4" eb="6">
      <t>ジョウキョウ</t>
    </rPh>
    <rPh sb="6" eb="7">
      <t>トウ</t>
    </rPh>
    <phoneticPr fontId="2"/>
  </si>
  <si>
    <r>
      <t>５　認証等の取得状況</t>
    </r>
    <r>
      <rPr>
        <b/>
        <sz val="10"/>
        <rFont val="ＭＳ Ｐゴシック"/>
        <family val="3"/>
        <charset val="128"/>
      </rPr>
      <t>（該当する項目を選択してください。）</t>
    </r>
    <rPh sb="2" eb="4">
      <t>ニンショウ</t>
    </rPh>
    <rPh sb="4" eb="5">
      <t>トウ</t>
    </rPh>
    <rPh sb="6" eb="8">
      <t>シュトク</t>
    </rPh>
    <rPh sb="8" eb="10">
      <t>ジョウキョウ</t>
    </rPh>
    <rPh sb="11" eb="13">
      <t>ガイトウ</t>
    </rPh>
    <rPh sb="15" eb="17">
      <t>コウモク</t>
    </rPh>
    <rPh sb="18" eb="20">
      <t>センタク</t>
    </rPh>
    <phoneticPr fontId="2"/>
  </si>
  <si>
    <r>
      <t>６　代理人の選定</t>
    </r>
    <r>
      <rPr>
        <b/>
        <sz val="10"/>
        <rFont val="ＭＳ Ｐゴシック"/>
        <family val="3"/>
        <charset val="128"/>
      </rPr>
      <t>（該当する項目を選択し、必要事項を記入してください。）</t>
    </r>
    <rPh sb="2" eb="5">
      <t>ダイリニン</t>
    </rPh>
    <rPh sb="6" eb="8">
      <t>センテイ</t>
    </rPh>
    <rPh sb="9" eb="11">
      <t>ガイトウ</t>
    </rPh>
    <rPh sb="13" eb="15">
      <t>コウモク</t>
    </rPh>
    <rPh sb="16" eb="18">
      <t>センタク</t>
    </rPh>
    <rPh sb="20" eb="22">
      <t>ヒツヨウ</t>
    </rPh>
    <rPh sb="22" eb="24">
      <t>ジコウ</t>
    </rPh>
    <rPh sb="25" eb="27">
      <t>キニュウ</t>
    </rPh>
    <phoneticPr fontId="2"/>
  </si>
  <si>
    <r>
      <t>７　使用印鑑（代表者が使用する実印以外の印鑑）の登録　</t>
    </r>
    <r>
      <rPr>
        <b/>
        <sz val="10"/>
        <rFont val="ＭＳ Ｐゴシック"/>
        <family val="3"/>
        <charset val="128"/>
      </rPr>
      <t>（該当する項目を選択してください。）</t>
    </r>
    <rPh sb="2" eb="4">
      <t>シヨウ</t>
    </rPh>
    <rPh sb="4" eb="6">
      <t>インカン</t>
    </rPh>
    <rPh sb="7" eb="10">
      <t>ダイヒョウシャ</t>
    </rPh>
    <rPh sb="11" eb="13">
      <t>シヨウ</t>
    </rPh>
    <rPh sb="15" eb="17">
      <t>ジツイン</t>
    </rPh>
    <rPh sb="17" eb="19">
      <t>イガイ</t>
    </rPh>
    <rPh sb="20" eb="22">
      <t>インカン</t>
    </rPh>
    <rPh sb="24" eb="26">
      <t>トウロク</t>
    </rPh>
    <rPh sb="35" eb="37">
      <t>センタク</t>
    </rPh>
    <phoneticPr fontId="2"/>
  </si>
  <si>
    <r>
      <t>８　入札通知書の送付先</t>
    </r>
    <r>
      <rPr>
        <b/>
        <sz val="10"/>
        <rFont val="ＭＳ Ｐゴシック"/>
        <family val="3"/>
        <charset val="128"/>
      </rPr>
      <t>（指定する送付先１つを選択し、「その他住所」の場合は必要事項を記入してください。）</t>
    </r>
    <rPh sb="2" eb="4">
      <t>ニュウサツ</t>
    </rPh>
    <rPh sb="4" eb="6">
      <t>ツウチ</t>
    </rPh>
    <rPh sb="6" eb="7">
      <t>ショ</t>
    </rPh>
    <rPh sb="8" eb="10">
      <t>ソウフ</t>
    </rPh>
    <rPh sb="10" eb="11">
      <t>サキ</t>
    </rPh>
    <rPh sb="12" eb="14">
      <t>シテイ</t>
    </rPh>
    <rPh sb="16" eb="19">
      <t>ソウフサキ</t>
    </rPh>
    <rPh sb="22" eb="24">
      <t>センタク</t>
    </rPh>
    <rPh sb="29" eb="30">
      <t>タ</t>
    </rPh>
    <rPh sb="30" eb="32">
      <t>ジュウショ</t>
    </rPh>
    <rPh sb="34" eb="36">
      <t>バアイ</t>
    </rPh>
    <rPh sb="37" eb="39">
      <t>ヒツヨウ</t>
    </rPh>
    <rPh sb="39" eb="41">
      <t>ジコウ</t>
    </rPh>
    <rPh sb="42" eb="44">
      <t>キニュウ</t>
    </rPh>
    <phoneticPr fontId="2"/>
  </si>
  <si>
    <r>
      <t>　※</t>
    </r>
    <r>
      <rPr>
        <u/>
        <sz val="10"/>
        <rFont val="ＭＳ Ｐゴシック"/>
        <family val="3"/>
        <charset val="128"/>
      </rPr>
      <t>「６」で「代理人を置く」を選択した場合は登録できません</t>
    </r>
    <r>
      <rPr>
        <sz val="10"/>
        <rFont val="ＭＳ Ｐゴシック"/>
        <family val="3"/>
        <charset val="128"/>
      </rPr>
      <t>。
　 　「６」で「代理人を置く」を選択した場合は、自動的に「登録しない」となります。</t>
    </r>
    <phoneticPr fontId="2"/>
  </si>
  <si>
    <t>別紙１から別紙２までのとおり</t>
    <rPh sb="0" eb="2">
      <t>ベッシ</t>
    </rPh>
    <rPh sb="5" eb="7">
      <t>ベッシ</t>
    </rPh>
    <phoneticPr fontId="2"/>
  </si>
  <si>
    <t>品目別、受取人ごとの指定はできません。</t>
    <phoneticPr fontId="2"/>
  </si>
  <si>
    <t>残骨灰等処理</t>
    <rPh sb="0" eb="2">
      <t>ザンコツ</t>
    </rPh>
    <rPh sb="2" eb="3">
      <t>ハイ</t>
    </rPh>
    <rPh sb="3" eb="4">
      <t>トウ</t>
    </rPh>
    <rPh sb="4" eb="6">
      <t>ショリ</t>
    </rPh>
    <phoneticPr fontId="2"/>
  </si>
  <si>
    <t>火葬場維持管理</t>
    <rPh sb="0" eb="3">
      <t>カソウバ</t>
    </rPh>
    <rPh sb="3" eb="5">
      <t>イジ</t>
    </rPh>
    <rPh sb="5" eb="7">
      <t>カンリ</t>
    </rPh>
    <phoneticPr fontId="2"/>
  </si>
  <si>
    <t>上水道施設維持管理</t>
    <phoneticPr fontId="2"/>
  </si>
  <si>
    <t>上水道管維持管理</t>
    <phoneticPr fontId="2"/>
  </si>
  <si>
    <t>上水道管調査</t>
    <phoneticPr fontId="2"/>
  </si>
  <si>
    <t>上水道施設等維持管理</t>
    <phoneticPr fontId="2"/>
  </si>
  <si>
    <t>浄水場運転管理</t>
    <phoneticPr fontId="2"/>
  </si>
  <si>
    <t>その他の上水道施設維持管理業務</t>
    <phoneticPr fontId="2"/>
  </si>
  <si>
    <t>下水道施設維持管理</t>
    <phoneticPr fontId="2"/>
  </si>
  <si>
    <t>下水道管維持管理</t>
    <phoneticPr fontId="2"/>
  </si>
  <si>
    <t>下水道管調査</t>
    <phoneticPr fontId="2"/>
  </si>
  <si>
    <t>下水道施設等維持管理</t>
    <phoneticPr fontId="2"/>
  </si>
  <si>
    <t>下水処理施設の運転管理</t>
    <phoneticPr fontId="2"/>
  </si>
  <si>
    <t>その他の下水道施設維持管理業務</t>
    <phoneticPr fontId="2"/>
  </si>
  <si>
    <t>消防設備保守点検</t>
    <rPh sb="0" eb="2">
      <t>ショウボウ</t>
    </rPh>
    <rPh sb="2" eb="4">
      <t>セツビ</t>
    </rPh>
    <rPh sb="4" eb="6">
      <t>ホシュ</t>
    </rPh>
    <rPh sb="6" eb="8">
      <t>テンケン</t>
    </rPh>
    <phoneticPr fontId="2"/>
  </si>
  <si>
    <t>自動ドア保守点検</t>
    <rPh sb="0" eb="2">
      <t>ジドウ</t>
    </rPh>
    <rPh sb="4" eb="8">
      <t>ホシュテンケン</t>
    </rPh>
    <phoneticPr fontId="2"/>
  </si>
  <si>
    <t>エレベーター保守点検</t>
    <rPh sb="6" eb="10">
      <t>ホシュテンケン</t>
    </rPh>
    <phoneticPr fontId="2"/>
  </si>
  <si>
    <t>浄化槽保守点検</t>
    <rPh sb="0" eb="3">
      <t>ジョウカソウ</t>
    </rPh>
    <rPh sb="3" eb="7">
      <t>ホシュテンケン</t>
    </rPh>
    <phoneticPr fontId="2"/>
  </si>
  <si>
    <t>交通量調査</t>
    <rPh sb="0" eb="5">
      <t>コウツウリョウチョウサ</t>
    </rPh>
    <phoneticPr fontId="2"/>
  </si>
  <si>
    <t>市場調査</t>
    <rPh sb="0" eb="2">
      <t>シジョウ</t>
    </rPh>
    <rPh sb="2" eb="4">
      <t>チョウサ</t>
    </rPh>
    <phoneticPr fontId="2"/>
  </si>
  <si>
    <t>廃棄物処理</t>
    <rPh sb="0" eb="5">
      <t>ハイキブツショリ</t>
    </rPh>
    <phoneticPr fontId="2"/>
  </si>
  <si>
    <t>廃棄物再生処理</t>
    <phoneticPr fontId="2"/>
  </si>
  <si>
    <t>一般廃棄物収集運搬</t>
    <phoneticPr fontId="2"/>
  </si>
  <si>
    <t>一般廃棄物中間処理、最終処分</t>
    <phoneticPr fontId="2"/>
  </si>
  <si>
    <t>産業廃棄物収集運搬</t>
    <phoneticPr fontId="2"/>
  </si>
  <si>
    <t>産業廃棄物中間処理、最終処分</t>
    <phoneticPr fontId="2"/>
  </si>
  <si>
    <t>その他の廃棄物処理業務</t>
    <phoneticPr fontId="2"/>
  </si>
  <si>
    <t>映画・ビデオ・写真</t>
    <phoneticPr fontId="2"/>
  </si>
  <si>
    <t>□</t>
    <phoneticPr fontId="2"/>
  </si>
  <si>
    <t>埋蔵文化財</t>
    <rPh sb="0" eb="5">
      <t>マイゾウブンカザイ</t>
    </rPh>
    <phoneticPr fontId="2"/>
  </si>
  <si>
    <t>発掘調査</t>
    <phoneticPr fontId="2"/>
  </si>
  <si>
    <t>自然科学分析・保存処理</t>
    <phoneticPr fontId="2"/>
  </si>
  <si>
    <t>遺構実測・遺物実測</t>
    <phoneticPr fontId="2"/>
  </si>
  <si>
    <t>発掘調査支援・重機掘削</t>
    <phoneticPr fontId="2"/>
  </si>
  <si>
    <t>文化財の修復</t>
    <phoneticPr fontId="2"/>
  </si>
  <si>
    <t>その他の埋蔵文化財業務</t>
    <phoneticPr fontId="2"/>
  </si>
  <si>
    <t>登録する</t>
    <rPh sb="0" eb="2">
      <t>トウロク</t>
    </rPh>
    <phoneticPr fontId="2"/>
  </si>
  <si>
    <t>登録しない</t>
    <rPh sb="0" eb="2">
      <t>トウロク</t>
    </rPh>
    <phoneticPr fontId="2"/>
  </si>
  <si>
    <t>津南地域衛生施設組合　管理者　津南町長　桑原　悠　　様</t>
    <rPh sb="0" eb="10">
      <t>ツナンチイキエイセイシセツクミアイ</t>
    </rPh>
    <rPh sb="11" eb="14">
      <t>カンリシャ</t>
    </rPh>
    <rPh sb="15" eb="17">
      <t>ツナン</t>
    </rPh>
    <rPh sb="17" eb="18">
      <t>チョウ</t>
    </rPh>
    <rPh sb="18" eb="19">
      <t>チョウ</t>
    </rPh>
    <rPh sb="20" eb="22">
      <t>クワハラ</t>
    </rPh>
    <rPh sb="23" eb="24">
      <t>ハルカ</t>
    </rPh>
    <rPh sb="26" eb="27">
      <t>サマ</t>
    </rPh>
    <phoneticPr fontId="2"/>
  </si>
  <si>
    <t>　令和８・９年度において、津南地域衛生施設組合で行われる下記の物品の購入、物品の製造の請負、借入及び役務等に係る入札、見積及び随意契約に参加する資格の審査を受けたいので、関係書類を添えて申請します。
　なお、この申請書及び添付書類の内容については、事実と相違ないことを誓約します。</t>
    <rPh sb="13" eb="23">
      <t>ツナンチイキエイセイシセツクミアイ</t>
    </rPh>
    <rPh sb="46" eb="48">
      <t>カリイレ</t>
    </rPh>
    <rPh sb="48" eb="49">
      <t>オヨ</t>
    </rPh>
    <rPh sb="50" eb="52">
      <t>エキム</t>
    </rPh>
    <rPh sb="52" eb="53">
      <t>トウ</t>
    </rPh>
    <rPh sb="59" eb="61">
      <t>ミツモ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</si>
</sst>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
    <numFmt numFmtId="177" formatCode="0000"/>
    <numFmt numFmtId="178" formatCode="00"/>
    <numFmt numFmtId="179" formatCode=";;;"/>
    <numFmt numFmtId="180" formatCode="[&lt;=999]000;[&lt;=9999]000\-00;000\-0000"/>
    <numFmt numFmtId="181" formatCode="[$-411]ggge&quot;年&quot;m&quot;月&quot;d&quot;日&quot;;@"/>
    <numFmt numFmtId="182" formatCode="###\-###"/>
    <numFmt numFmtId="183" formatCode="#,##0;\-#,##0;0"/>
  </numFmts>
  <fonts count="44">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color indexed="9"/>
      <name val="ＭＳ Ｐゴシック"/>
      <family val="3"/>
      <charset val="128"/>
    </font>
    <font>
      <sz val="11"/>
      <name val="ＭＳ Ｐ明朝"/>
      <family val="1"/>
      <charset val="128"/>
    </font>
    <font>
      <b/>
      <sz val="16"/>
      <name val="ＭＳ Ｐゴシック"/>
      <family val="3"/>
      <charset val="128"/>
    </font>
    <font>
      <sz val="10"/>
      <name val="ＭＳ Ｐゴシック"/>
      <family val="3"/>
      <charset val="128"/>
    </font>
    <font>
      <sz val="10"/>
      <name val="ＭＳ Ｐ明朝"/>
      <family val="1"/>
      <charset val="128"/>
    </font>
    <font>
      <sz val="11"/>
      <color indexed="9"/>
      <name val="ＭＳ Ｐ明朝"/>
      <family val="1"/>
      <charset val="128"/>
    </font>
    <font>
      <sz val="9"/>
      <name val="ＭＳ Ｐ明朝"/>
      <family val="1"/>
      <charset val="128"/>
    </font>
    <font>
      <b/>
      <sz val="10"/>
      <name val="ＭＳ Ｐゴシック"/>
      <family val="3"/>
      <charset val="128"/>
    </font>
    <font>
      <sz val="16"/>
      <name val="ＭＳ Ｐ明朝"/>
      <family val="1"/>
      <charset val="128"/>
    </font>
    <font>
      <sz val="18"/>
      <name val="ＭＳ Ｐゴシック"/>
      <family val="3"/>
      <charset val="128"/>
    </font>
    <font>
      <sz val="8"/>
      <name val="ＭＳ Ｐ明朝"/>
      <family val="1"/>
      <charset val="128"/>
    </font>
    <font>
      <sz val="9"/>
      <name val="ＭＳ Ｐゴシック"/>
      <family val="3"/>
      <charset val="128"/>
    </font>
    <font>
      <u/>
      <sz val="11"/>
      <name val="ＭＳ Ｐ明朝"/>
      <family val="1"/>
      <charset val="128"/>
    </font>
    <font>
      <sz val="11"/>
      <color indexed="10"/>
      <name val="ＭＳ Ｐゴシック"/>
      <family val="3"/>
      <charset val="128"/>
    </font>
    <font>
      <sz val="9"/>
      <color indexed="81"/>
      <name val="ＭＳ Ｐゴシック"/>
      <family val="3"/>
      <charset val="128"/>
    </font>
    <font>
      <sz val="11"/>
      <color indexed="43"/>
      <name val="ＭＳ Ｐゴシック"/>
      <family val="3"/>
      <charset val="128"/>
    </font>
    <font>
      <sz val="11"/>
      <name val="ＭＳ 明朝"/>
      <family val="1"/>
      <charset val="128"/>
    </font>
    <font>
      <b/>
      <u/>
      <sz val="11"/>
      <name val="ＭＳ Ｐゴシック"/>
      <family val="3"/>
      <charset val="128"/>
    </font>
    <font>
      <u/>
      <sz val="10"/>
      <name val="ＭＳ Ｐゴシック"/>
      <family val="3"/>
      <charset val="128"/>
    </font>
    <font>
      <sz val="6"/>
      <name val="ＭＳ Ｐ明朝"/>
      <family val="1"/>
      <charset val="128"/>
    </font>
    <font>
      <sz val="9"/>
      <color indexed="81"/>
      <name val="MS P ゴシック"/>
      <family val="3"/>
      <charset val="128"/>
    </font>
    <font>
      <sz val="9"/>
      <color rgb="FFFF0000"/>
      <name val="ＭＳ Ｐゴシック"/>
      <family val="3"/>
      <charset val="128"/>
    </font>
    <font>
      <b/>
      <sz val="9"/>
      <color theme="1"/>
      <name val="ＭＳ Ｐゴシック"/>
      <family val="3"/>
      <charset val="128"/>
    </font>
    <font>
      <sz val="11"/>
      <color theme="1"/>
      <name val="ＭＳ Ｐ明朝"/>
      <family val="1"/>
      <charset val="128"/>
    </font>
    <font>
      <sz val="6"/>
      <name val="ＭＳ Ｐゴシック"/>
      <family val="2"/>
      <charset val="128"/>
      <scheme val="minor"/>
    </font>
    <font>
      <sz val="10.5"/>
      <name val="ＭＳ Ｐ明朝"/>
      <family val="1"/>
      <charset val="128"/>
    </font>
    <font>
      <sz val="8"/>
      <color rgb="FFFF0000"/>
      <name val="ＭＳ Ｐゴシック"/>
      <family val="3"/>
      <charset val="128"/>
    </font>
    <font>
      <b/>
      <sz val="10"/>
      <color rgb="FFFF0000"/>
      <name val="ＭＳ Ｐゴシック"/>
      <family val="3"/>
      <charset val="128"/>
    </font>
    <font>
      <u/>
      <sz val="10"/>
      <name val="ＭＳ Ｐ明朝"/>
      <family val="1"/>
      <charset val="128"/>
    </font>
    <font>
      <b/>
      <sz val="28"/>
      <color theme="1"/>
      <name val="ＭＳ Ｐゴシック"/>
      <family val="3"/>
      <charset val="128"/>
    </font>
    <font>
      <sz val="14"/>
      <name val="ＭＳ Ｐ明朝"/>
      <family val="1"/>
      <charset val="128"/>
    </font>
    <font>
      <sz val="11"/>
      <color indexed="43"/>
      <name val="ＭＳ Ｐ明朝"/>
      <family val="1"/>
      <charset val="128"/>
    </font>
    <font>
      <sz val="11"/>
      <color theme="0" tint="-0.34998626667073579"/>
      <name val="ＭＳ Ｐゴシック"/>
      <family val="3"/>
      <charset val="128"/>
    </font>
    <font>
      <b/>
      <sz val="9"/>
      <color indexed="81"/>
      <name val="MS P ゴシック"/>
      <family val="3"/>
      <charset val="128"/>
    </font>
    <font>
      <sz val="10"/>
      <color theme="0" tint="-0.34998626667073579"/>
      <name val="ＭＳ Ｐゴシック"/>
      <family val="3"/>
      <charset val="128"/>
    </font>
    <font>
      <b/>
      <sz val="11"/>
      <color theme="0" tint="-0.34998626667073579"/>
      <name val="ＭＳ Ｐゴシック"/>
      <family val="3"/>
      <charset val="128"/>
    </font>
    <font>
      <sz val="8"/>
      <color theme="0" tint="-0.34998626667073579"/>
      <name val="ＭＳ Ｐゴシック"/>
      <family val="3"/>
      <charset val="128"/>
    </font>
    <font>
      <sz val="10"/>
      <name val="ＭＳ 明朝"/>
      <family val="1"/>
      <charset val="128"/>
    </font>
    <font>
      <u/>
      <sz val="11"/>
      <color theme="1"/>
      <name val="ＭＳ Ｐゴシック"/>
      <family val="3"/>
      <charset val="128"/>
    </font>
    <font>
      <sz val="12"/>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s>
  <borders count="84">
    <border>
      <left/>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auto="1"/>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medium">
        <color indexed="64"/>
      </left>
      <right style="thin">
        <color indexed="64"/>
      </right>
      <top style="thin">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cellStyleXfs>
  <cellXfs count="551">
    <xf numFmtId="0" fontId="0" fillId="0" borderId="0" xfId="0">
      <alignment vertical="center"/>
    </xf>
    <xf numFmtId="0" fontId="3" fillId="2" borderId="0" xfId="0" applyFont="1" applyFill="1">
      <alignment vertical="center"/>
    </xf>
    <xf numFmtId="0" fontId="0" fillId="2" borderId="0" xfId="0" applyFill="1">
      <alignment vertical="center"/>
    </xf>
    <xf numFmtId="0" fontId="13" fillId="2" borderId="0" xfId="0" applyFont="1" applyFill="1" applyAlignment="1">
      <alignment horizontal="center" vertical="center" shrinkToFit="1"/>
    </xf>
    <xf numFmtId="0" fontId="5" fillId="2" borderId="0" xfId="0" applyFont="1" applyFill="1">
      <alignment vertical="center"/>
    </xf>
    <xf numFmtId="0" fontId="0" fillId="2" borderId="0" xfId="0" applyFill="1" applyAlignment="1">
      <alignment horizontal="center" vertical="center" shrinkToFit="1"/>
    </xf>
    <xf numFmtId="0" fontId="5" fillId="2" borderId="0" xfId="0" applyFont="1" applyFill="1" applyAlignment="1">
      <alignment vertical="center" shrinkToFit="1"/>
    </xf>
    <xf numFmtId="0" fontId="0" fillId="2" borderId="0" xfId="0" applyFill="1" applyAlignment="1">
      <alignment horizontal="left" vertical="top" wrapText="1"/>
    </xf>
    <xf numFmtId="0" fontId="1" fillId="2" borderId="0" xfId="0" applyFont="1" applyFill="1" applyAlignment="1">
      <alignment horizontal="left" vertical="top"/>
    </xf>
    <xf numFmtId="0" fontId="5" fillId="2" borderId="0" xfId="0" applyFont="1" applyFill="1" applyAlignment="1">
      <alignment vertical="top" wrapText="1"/>
    </xf>
    <xf numFmtId="0" fontId="0" fillId="2" borderId="0" xfId="0" applyFill="1" applyAlignment="1">
      <alignment horizontal="left"/>
    </xf>
    <xf numFmtId="0" fontId="5" fillId="2" borderId="0" xfId="0" applyFont="1" applyFill="1" applyAlignment="1">
      <alignment horizontal="left" wrapText="1"/>
    </xf>
    <xf numFmtId="0" fontId="5" fillId="2" borderId="0" xfId="0" applyFont="1" applyFill="1" applyAlignment="1">
      <alignment wrapText="1"/>
    </xf>
    <xf numFmtId="0" fontId="0" fillId="2" borderId="1" xfId="0" applyFill="1" applyBorder="1">
      <alignment vertical="center"/>
    </xf>
    <xf numFmtId="178" fontId="5" fillId="2" borderId="5" xfId="0" applyNumberFormat="1" applyFont="1" applyFill="1" applyBorder="1" applyAlignment="1">
      <alignment horizontal="center" vertical="center"/>
    </xf>
    <xf numFmtId="178" fontId="5" fillId="2" borderId="0" xfId="0" applyNumberFormat="1" applyFont="1" applyFill="1" applyAlignment="1">
      <alignment horizontal="center" vertical="center"/>
    </xf>
    <xf numFmtId="0" fontId="5" fillId="2" borderId="0" xfId="0" applyFont="1" applyFill="1" applyAlignment="1">
      <alignment horizontal="left" vertical="center"/>
    </xf>
    <xf numFmtId="0" fontId="1" fillId="2" borderId="0" xfId="0" applyFont="1" applyFill="1" applyAlignment="1">
      <alignment horizontal="left" vertical="center"/>
    </xf>
    <xf numFmtId="0" fontId="1" fillId="2" borderId="0" xfId="0" applyFont="1" applyFill="1">
      <alignment vertical="center"/>
    </xf>
    <xf numFmtId="0" fontId="9" fillId="2" borderId="0" xfId="0" applyFont="1" applyFill="1">
      <alignment vertical="center"/>
    </xf>
    <xf numFmtId="0" fontId="8" fillId="2" borderId="0" xfId="0" applyFont="1" applyFill="1">
      <alignment vertical="center"/>
    </xf>
    <xf numFmtId="0" fontId="5" fillId="2" borderId="6" xfId="0" applyFont="1" applyFill="1" applyBorder="1" applyAlignment="1">
      <alignment horizontal="left" vertical="center"/>
    </xf>
    <xf numFmtId="0" fontId="7" fillId="2" borderId="0" xfId="0" applyFont="1" applyFill="1" applyAlignment="1">
      <alignment horizontal="center" vertical="top" wrapText="1"/>
    </xf>
    <xf numFmtId="0" fontId="5" fillId="3" borderId="36" xfId="0" applyFont="1" applyFill="1" applyBorder="1" applyAlignment="1" applyProtection="1">
      <alignment horizontal="center" vertical="center"/>
      <protection locked="0"/>
    </xf>
    <xf numFmtId="0" fontId="5" fillId="3" borderId="53" xfId="0" applyFont="1" applyFill="1" applyBorder="1" applyProtection="1">
      <alignment vertical="center"/>
      <protection locked="0"/>
    </xf>
    <xf numFmtId="0" fontId="5" fillId="3" borderId="56" xfId="0" applyFont="1" applyFill="1" applyBorder="1" applyProtection="1">
      <alignment vertical="center"/>
      <protection locked="0"/>
    </xf>
    <xf numFmtId="177" fontId="0" fillId="2" borderId="0" xfId="0" applyNumberFormat="1" applyFill="1">
      <alignment vertical="center"/>
    </xf>
    <xf numFmtId="181" fontId="5" fillId="0" borderId="36" xfId="0" applyNumberFormat="1" applyFont="1" applyBorder="1">
      <alignment vertical="center"/>
    </xf>
    <xf numFmtId="0" fontId="5" fillId="2" borderId="36" xfId="0" applyFont="1" applyFill="1" applyBorder="1">
      <alignment vertical="center"/>
    </xf>
    <xf numFmtId="181" fontId="5" fillId="0" borderId="49" xfId="0" applyNumberFormat="1" applyFont="1" applyBorder="1">
      <alignment vertical="center"/>
    </xf>
    <xf numFmtId="182" fontId="12" fillId="0" borderId="0" xfId="0" applyNumberFormat="1" applyFont="1" applyAlignment="1">
      <alignment vertical="center" shrinkToFit="1"/>
    </xf>
    <xf numFmtId="49" fontId="0" fillId="2" borderId="0" xfId="0" applyNumberFormat="1" applyFill="1">
      <alignment vertical="center"/>
    </xf>
    <xf numFmtId="49" fontId="0" fillId="2" borderId="0" xfId="0" applyNumberFormat="1" applyFill="1" applyAlignment="1">
      <alignment horizontal="left" vertical="center"/>
    </xf>
    <xf numFmtId="180" fontId="5" fillId="0" borderId="45" xfId="0" applyNumberFormat="1" applyFont="1" applyBorder="1">
      <alignment vertical="center"/>
    </xf>
    <xf numFmtId="0" fontId="8" fillId="2" borderId="0" xfId="0" applyFont="1" applyFill="1" applyAlignment="1">
      <alignment vertical="top"/>
    </xf>
    <xf numFmtId="0" fontId="8" fillId="2" borderId="0" xfId="0" applyFont="1" applyFill="1" applyAlignment="1">
      <alignment horizontal="left" vertical="center"/>
    </xf>
    <xf numFmtId="0" fontId="5" fillId="2" borderId="9" xfId="0" applyFont="1" applyFill="1" applyBorder="1" applyAlignment="1">
      <alignment horizontal="left" vertical="center"/>
    </xf>
    <xf numFmtId="0" fontId="5" fillId="2" borderId="8" xfId="0" applyFont="1" applyFill="1" applyBorder="1">
      <alignment vertical="center"/>
    </xf>
    <xf numFmtId="0" fontId="0" fillId="2" borderId="5" xfId="0" applyFill="1" applyBorder="1">
      <alignment vertical="center"/>
    </xf>
    <xf numFmtId="0" fontId="0" fillId="2" borderId="8" xfId="0" applyFill="1" applyBorder="1">
      <alignment vertical="center"/>
    </xf>
    <xf numFmtId="0" fontId="5" fillId="2" borderId="5" xfId="0" applyFont="1" applyFill="1" applyBorder="1">
      <alignment vertical="center"/>
    </xf>
    <xf numFmtId="0" fontId="0" fillId="2" borderId="14" xfId="0" applyFill="1" applyBorder="1">
      <alignment vertical="center"/>
    </xf>
    <xf numFmtId="0" fontId="5" fillId="2" borderId="9" xfId="0" applyFont="1" applyFill="1" applyBorder="1">
      <alignment vertical="center"/>
    </xf>
    <xf numFmtId="0" fontId="16" fillId="2" borderId="9" xfId="0" applyFont="1" applyFill="1" applyBorder="1">
      <alignment vertical="center"/>
    </xf>
    <xf numFmtId="0" fontId="5" fillId="2" borderId="15" xfId="0" applyFont="1" applyFill="1" applyBorder="1">
      <alignment vertical="center"/>
    </xf>
    <xf numFmtId="0" fontId="5" fillId="2" borderId="16" xfId="0" applyFont="1" applyFill="1" applyBorder="1">
      <alignment vertical="center"/>
    </xf>
    <xf numFmtId="0" fontId="5" fillId="2" borderId="13" xfId="0" applyFont="1" applyFill="1" applyBorder="1">
      <alignment vertical="center"/>
    </xf>
    <xf numFmtId="0" fontId="5" fillId="2" borderId="17" xfId="0" applyFont="1" applyFill="1" applyBorder="1">
      <alignment vertical="center"/>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0" fillId="2" borderId="9" xfId="0" applyFill="1" applyBorder="1">
      <alignment vertical="center"/>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0" fillId="2" borderId="0" xfId="0" applyFill="1" applyAlignment="1">
      <alignment horizontal="left" vertical="center"/>
    </xf>
    <xf numFmtId="0" fontId="5" fillId="3" borderId="6" xfId="0" applyFont="1" applyFill="1" applyBorder="1" applyAlignment="1" applyProtection="1">
      <alignment horizontal="center" vertical="center" shrinkToFit="1"/>
      <protection locked="0"/>
    </xf>
    <xf numFmtId="0" fontId="5" fillId="2" borderId="14" xfId="0" applyFont="1" applyFill="1" applyBorder="1" applyAlignment="1">
      <alignment horizontal="center" vertical="center" textRotation="255"/>
    </xf>
    <xf numFmtId="0" fontId="5" fillId="2" borderId="9" xfId="0" applyFont="1" applyFill="1" applyBorder="1" applyAlignment="1">
      <alignment horizontal="center" vertical="center" textRotation="255"/>
    </xf>
    <xf numFmtId="0" fontId="5" fillId="0" borderId="12" xfId="0" applyFont="1" applyBorder="1" applyAlignment="1">
      <alignment horizontal="left" vertical="center"/>
    </xf>
    <xf numFmtId="0" fontId="30" fillId="2" borderId="0" xfId="0" applyFont="1" applyFill="1">
      <alignment vertical="center"/>
    </xf>
    <xf numFmtId="0" fontId="4" fillId="2" borderId="0" xfId="0" applyFont="1" applyFill="1">
      <alignment vertical="center"/>
    </xf>
    <xf numFmtId="0" fontId="5" fillId="2" borderId="6" xfId="0" applyFont="1" applyFill="1" applyBorder="1">
      <alignment vertical="center"/>
    </xf>
    <xf numFmtId="0" fontId="8" fillId="2" borderId="6" xfId="0" applyFont="1" applyFill="1" applyBorder="1" applyAlignment="1">
      <alignment horizontal="right" vertical="center"/>
    </xf>
    <xf numFmtId="0" fontId="8" fillId="2" borderId="1" xfId="0" applyFont="1" applyFill="1" applyBorder="1" applyAlignment="1">
      <alignment horizontal="right" vertical="center"/>
    </xf>
    <xf numFmtId="0" fontId="0" fillId="2" borderId="13" xfId="0" applyFill="1" applyBorder="1">
      <alignment vertical="center"/>
    </xf>
    <xf numFmtId="0" fontId="0" fillId="2" borderId="17" xfId="0" applyFill="1" applyBorder="1">
      <alignment vertical="center"/>
    </xf>
    <xf numFmtId="0" fontId="3" fillId="2" borderId="0" xfId="0" applyFont="1" applyFill="1" applyAlignment="1">
      <alignment horizontal="left" vertical="center"/>
    </xf>
    <xf numFmtId="0" fontId="5" fillId="0" borderId="14" xfId="0" applyFont="1" applyBorder="1">
      <alignment vertical="center"/>
    </xf>
    <xf numFmtId="0" fontId="5" fillId="0" borderId="9" xfId="0" applyFont="1" applyBorder="1">
      <alignment vertical="center"/>
    </xf>
    <xf numFmtId="0" fontId="0" fillId="0" borderId="9" xfId="0" applyBorder="1">
      <alignment vertical="center"/>
    </xf>
    <xf numFmtId="0" fontId="0" fillId="0" borderId="15" xfId="0" applyBorder="1">
      <alignment vertical="center"/>
    </xf>
    <xf numFmtId="0" fontId="5" fillId="0" borderId="0" xfId="0" applyFont="1">
      <alignment vertical="center"/>
    </xf>
    <xf numFmtId="14" fontId="4" fillId="2" borderId="0" xfId="0" applyNumberFormat="1" applyFont="1" applyFill="1" applyAlignment="1">
      <alignment horizontal="left" vertical="center" wrapText="1"/>
    </xf>
    <xf numFmtId="14" fontId="0" fillId="2" borderId="0" xfId="0" applyNumberFormat="1" applyFill="1">
      <alignment vertical="center"/>
    </xf>
    <xf numFmtId="14" fontId="4" fillId="2" borderId="0" xfId="0" applyNumberFormat="1" applyFont="1" applyFill="1">
      <alignment vertical="center"/>
    </xf>
    <xf numFmtId="0" fontId="5" fillId="0" borderId="16" xfId="0" applyFont="1" applyBorder="1">
      <alignment vertical="center"/>
    </xf>
    <xf numFmtId="0" fontId="5" fillId="0" borderId="13" xfId="0" applyFont="1" applyBorder="1">
      <alignment vertical="center"/>
    </xf>
    <xf numFmtId="0" fontId="0" fillId="0" borderId="13" xfId="0" applyBorder="1">
      <alignment vertical="center"/>
    </xf>
    <xf numFmtId="14" fontId="4" fillId="0" borderId="13" xfId="0" applyNumberFormat="1" applyFont="1" applyBorder="1" applyAlignment="1">
      <alignment horizontal="left" vertical="center" wrapText="1"/>
    </xf>
    <xf numFmtId="0" fontId="0" fillId="0" borderId="17" xfId="0" applyBorder="1">
      <alignment vertical="center"/>
    </xf>
    <xf numFmtId="0" fontId="5" fillId="0" borderId="53" xfId="0" applyFont="1" applyBorder="1">
      <alignment vertical="center"/>
    </xf>
    <xf numFmtId="0" fontId="5" fillId="0" borderId="52" xfId="0" applyFont="1" applyBorder="1">
      <alignment vertical="center"/>
    </xf>
    <xf numFmtId="14" fontId="17" fillId="2" borderId="0" xfId="0" applyNumberFormat="1" applyFont="1" applyFill="1">
      <alignment vertical="center"/>
    </xf>
    <xf numFmtId="0" fontId="5" fillId="0" borderId="56" xfId="0" applyFont="1" applyBorder="1">
      <alignment vertical="center"/>
    </xf>
    <xf numFmtId="0" fontId="5" fillId="0" borderId="57" xfId="0" applyFont="1" applyBorder="1">
      <alignment vertical="center"/>
    </xf>
    <xf numFmtId="57" fontId="4" fillId="2" borderId="0" xfId="0" applyNumberFormat="1" applyFont="1" applyFill="1">
      <alignment vertical="center"/>
    </xf>
    <xf numFmtId="0" fontId="5" fillId="2" borderId="14" xfId="0" applyFont="1" applyFill="1" applyBorder="1">
      <alignment vertical="center"/>
    </xf>
    <xf numFmtId="0" fontId="5" fillId="2" borderId="1" xfId="0" applyFont="1" applyFill="1" applyBorder="1">
      <alignment vertical="center"/>
    </xf>
    <xf numFmtId="0" fontId="5" fillId="2" borderId="9" xfId="0" applyFont="1" applyFill="1" applyBorder="1" applyAlignment="1">
      <alignment vertical="center" wrapText="1"/>
    </xf>
    <xf numFmtId="0" fontId="5" fillId="2" borderId="15" xfId="0" applyFont="1" applyFill="1" applyBorder="1" applyAlignment="1">
      <alignment vertical="center" wrapText="1"/>
    </xf>
    <xf numFmtId="0" fontId="5" fillId="2" borderId="5" xfId="0" applyFont="1" applyFill="1" applyBorder="1" applyAlignment="1">
      <alignment vertical="center" wrapText="1"/>
    </xf>
    <xf numFmtId="0" fontId="5" fillId="2" borderId="16" xfId="0" applyFont="1" applyFill="1" applyBorder="1" applyAlignment="1">
      <alignment vertical="center" wrapText="1"/>
    </xf>
    <xf numFmtId="0" fontId="5" fillId="2" borderId="13" xfId="0" applyFont="1" applyFill="1" applyBorder="1" applyAlignment="1">
      <alignment vertical="center" wrapText="1"/>
    </xf>
    <xf numFmtId="0" fontId="5" fillId="2" borderId="17" xfId="0" applyFont="1" applyFill="1" applyBorder="1" applyAlignment="1">
      <alignment vertical="center" wrapText="1"/>
    </xf>
    <xf numFmtId="0" fontId="5" fillId="2" borderId="0" xfId="0" applyFont="1" applyFill="1" applyAlignment="1">
      <alignment vertical="center" wrapText="1"/>
    </xf>
    <xf numFmtId="0" fontId="5" fillId="2" borderId="8" xfId="0" applyFont="1" applyFill="1" applyBorder="1" applyAlignment="1">
      <alignment vertical="center" wrapText="1"/>
    </xf>
    <xf numFmtId="0" fontId="5" fillId="2" borderId="0" xfId="0" applyFont="1" applyFill="1" applyAlignment="1">
      <alignment horizontal="left" vertical="center" wrapText="1"/>
    </xf>
    <xf numFmtId="178" fontId="1" fillId="2" borderId="37" xfId="2" applyNumberFormat="1" applyFill="1" applyBorder="1" applyAlignment="1">
      <alignment horizontal="centerContinuous" vertical="center"/>
    </xf>
    <xf numFmtId="0" fontId="1" fillId="2" borderId="20" xfId="2" applyFill="1" applyBorder="1" applyAlignment="1">
      <alignment horizontal="centerContinuous" vertical="center" shrinkToFit="1"/>
    </xf>
    <xf numFmtId="0" fontId="1" fillId="2" borderId="38" xfId="2" applyFill="1" applyBorder="1" applyAlignment="1">
      <alignment horizontal="centerContinuous" vertical="center"/>
    </xf>
    <xf numFmtId="0" fontId="1" fillId="2" borderId="10" xfId="2" applyFill="1" applyBorder="1"/>
    <xf numFmtId="178" fontId="1" fillId="2" borderId="10" xfId="2" applyNumberFormat="1" applyFill="1" applyBorder="1"/>
    <xf numFmtId="0" fontId="1" fillId="2" borderId="10" xfId="2" applyFill="1" applyBorder="1" applyAlignment="1">
      <alignment shrinkToFit="1"/>
    </xf>
    <xf numFmtId="178" fontId="1" fillId="0" borderId="10" xfId="2" applyNumberFormat="1" applyBorder="1"/>
    <xf numFmtId="0" fontId="1" fillId="0" borderId="10" xfId="2" applyBorder="1" applyAlignment="1">
      <alignment shrinkToFit="1"/>
    </xf>
    <xf numFmtId="0" fontId="1" fillId="0" borderId="10" xfId="2" applyBorder="1"/>
    <xf numFmtId="0" fontId="1" fillId="2" borderId="11" xfId="2" applyFill="1" applyBorder="1" applyAlignment="1">
      <alignment shrinkToFit="1"/>
    </xf>
    <xf numFmtId="0" fontId="7" fillId="2" borderId="0" xfId="2" applyFont="1" applyFill="1" applyAlignment="1">
      <alignment horizontal="center" vertical="center"/>
    </xf>
    <xf numFmtId="0" fontId="1" fillId="2" borderId="0" xfId="2" applyFill="1"/>
    <xf numFmtId="0" fontId="0" fillId="2" borderId="0" xfId="2" applyFont="1" applyFill="1" applyAlignment="1">
      <alignment horizontal="center"/>
    </xf>
    <xf numFmtId="178" fontId="1" fillId="2" borderId="72" xfId="2" applyNumberFormat="1" applyFill="1" applyBorder="1" applyAlignment="1">
      <alignment horizontal="center" vertical="top" textRotation="255" shrinkToFit="1"/>
    </xf>
    <xf numFmtId="0" fontId="1" fillId="2" borderId="50" xfId="2" applyFill="1" applyBorder="1" applyAlignment="1">
      <alignment horizontal="center" vertical="center" shrinkToFit="1"/>
    </xf>
    <xf numFmtId="0" fontId="1" fillId="2" borderId="13" xfId="2" applyFill="1" applyBorder="1" applyAlignment="1">
      <alignment horizontal="center" vertical="top" textRotation="255" shrinkToFit="1"/>
    </xf>
    <xf numFmtId="0" fontId="1" fillId="2" borderId="44" xfId="2" applyFill="1" applyBorder="1" applyAlignment="1">
      <alignment horizontal="center" vertical="center" shrinkToFit="1"/>
    </xf>
    <xf numFmtId="0" fontId="1" fillId="2" borderId="13" xfId="2" applyFill="1" applyBorder="1" applyAlignment="1">
      <alignment horizontal="centerContinuous" vertical="top"/>
    </xf>
    <xf numFmtId="178" fontId="1" fillId="2" borderId="13" xfId="2" applyNumberFormat="1" applyFill="1" applyBorder="1" applyAlignment="1">
      <alignment horizontal="centerContinuous" vertical="top"/>
    </xf>
    <xf numFmtId="0" fontId="1" fillId="2" borderId="13" xfId="2" applyFill="1" applyBorder="1" applyAlignment="1">
      <alignment horizontal="centerContinuous" vertical="top" shrinkToFit="1"/>
    </xf>
    <xf numFmtId="178" fontId="1" fillId="0" borderId="13" xfId="2" applyNumberFormat="1" applyBorder="1" applyAlignment="1">
      <alignment horizontal="centerContinuous" vertical="top"/>
    </xf>
    <xf numFmtId="0" fontId="1" fillId="0" borderId="13" xfId="2" applyBorder="1" applyAlignment="1">
      <alignment horizontal="centerContinuous" vertical="top" shrinkToFit="1"/>
    </xf>
    <xf numFmtId="0" fontId="1" fillId="0" borderId="13" xfId="2" applyBorder="1" applyAlignment="1">
      <alignment horizontal="centerContinuous" vertical="top"/>
    </xf>
    <xf numFmtId="0" fontId="1" fillId="2" borderId="17" xfId="2" applyFill="1" applyBorder="1" applyAlignment="1">
      <alignment horizontal="centerContinuous" vertical="top" shrinkToFit="1"/>
    </xf>
    <xf numFmtId="0" fontId="1" fillId="2" borderId="5" xfId="2" applyFill="1" applyBorder="1" applyAlignment="1">
      <alignment horizontal="center" vertical="center"/>
    </xf>
    <xf numFmtId="0" fontId="1" fillId="2" borderId="0" xfId="2" applyFill="1" applyAlignment="1">
      <alignment shrinkToFit="1"/>
    </xf>
    <xf numFmtId="0" fontId="1" fillId="2" borderId="8" xfId="2" applyFill="1" applyBorder="1" applyAlignment="1">
      <alignment shrinkToFit="1"/>
    </xf>
    <xf numFmtId="0" fontId="1" fillId="2" borderId="0" xfId="2" applyFill="1" applyAlignment="1">
      <alignment horizontal="left" vertical="center"/>
    </xf>
    <xf numFmtId="178" fontId="1" fillId="2" borderId="0" xfId="2" applyNumberFormat="1" applyFill="1"/>
    <xf numFmtId="0" fontId="1" fillId="2" borderId="0" xfId="2" applyFill="1" applyAlignment="1">
      <alignment horizontal="center"/>
    </xf>
    <xf numFmtId="178" fontId="1" fillId="0" borderId="0" xfId="2" applyNumberFormat="1"/>
    <xf numFmtId="0" fontId="1" fillId="2" borderId="4" xfId="2" applyFill="1" applyBorder="1" applyAlignment="1">
      <alignment shrinkToFit="1"/>
    </xf>
    <xf numFmtId="0" fontId="31" fillId="2" borderId="5" xfId="2" applyFont="1" applyFill="1" applyBorder="1" applyAlignment="1">
      <alignment vertical="center"/>
    </xf>
    <xf numFmtId="0" fontId="1" fillId="2" borderId="15" xfId="2" applyFill="1" applyBorder="1" applyAlignment="1">
      <alignment shrinkToFit="1"/>
    </xf>
    <xf numFmtId="178" fontId="26" fillId="2" borderId="0" xfId="2" applyNumberFormat="1" applyFont="1" applyFill="1" applyAlignment="1">
      <alignment vertical="center" wrapText="1"/>
    </xf>
    <xf numFmtId="0" fontId="1" fillId="2" borderId="17" xfId="2" applyFill="1" applyBorder="1" applyAlignment="1">
      <alignment shrinkToFit="1"/>
    </xf>
    <xf numFmtId="0" fontId="1" fillId="0" borderId="0" xfId="2" applyAlignment="1">
      <alignment shrinkToFit="1"/>
    </xf>
    <xf numFmtId="0" fontId="1" fillId="0" borderId="0" xfId="2"/>
    <xf numFmtId="0" fontId="41" fillId="2" borderId="0" xfId="0" applyFont="1" applyFill="1">
      <alignment vertical="center"/>
    </xf>
    <xf numFmtId="0" fontId="7" fillId="2" borderId="5" xfId="0" applyFont="1" applyFill="1" applyBorder="1">
      <alignment vertical="center"/>
    </xf>
    <xf numFmtId="0" fontId="7" fillId="2" borderId="0" xfId="0" applyFont="1" applyFill="1">
      <alignment vertical="center"/>
    </xf>
    <xf numFmtId="0" fontId="7" fillId="2" borderId="8" xfId="0" applyFont="1" applyFill="1" applyBorder="1">
      <alignment vertical="center"/>
    </xf>
    <xf numFmtId="0" fontId="36" fillId="0" borderId="0" xfId="0" applyFont="1" applyAlignment="1">
      <alignment horizontal="center" vertical="center"/>
    </xf>
    <xf numFmtId="0" fontId="36" fillId="0" borderId="0" xfId="0" applyFont="1">
      <alignment vertical="center"/>
    </xf>
    <xf numFmtId="0" fontId="39" fillId="0" borderId="0" xfId="0" applyFont="1" applyAlignment="1">
      <alignment horizontal="left" vertical="center"/>
    </xf>
    <xf numFmtId="0" fontId="40" fillId="0" borderId="0" xfId="0" applyFont="1">
      <alignment vertical="center"/>
    </xf>
    <xf numFmtId="0" fontId="38" fillId="0" borderId="0" xfId="2" applyFont="1" applyAlignment="1">
      <alignment vertical="center"/>
    </xf>
    <xf numFmtId="0" fontId="38" fillId="0" borderId="73" xfId="2" applyFont="1" applyBorder="1" applyAlignment="1">
      <alignment vertical="center"/>
    </xf>
    <xf numFmtId="0" fontId="38" fillId="0" borderId="74" xfId="2" applyFont="1" applyBorder="1" applyAlignment="1">
      <alignment vertical="center"/>
    </xf>
    <xf numFmtId="0" fontId="38" fillId="0" borderId="76" xfId="2" applyFont="1" applyBorder="1" applyAlignment="1">
      <alignment vertical="center"/>
    </xf>
    <xf numFmtId="0" fontId="38" fillId="0" borderId="78" xfId="2" applyFont="1" applyBorder="1" applyAlignment="1">
      <alignment vertical="center"/>
    </xf>
    <xf numFmtId="0" fontId="38" fillId="0" borderId="79" xfId="2" applyFont="1" applyBorder="1" applyAlignment="1">
      <alignment vertical="center"/>
    </xf>
    <xf numFmtId="0" fontId="38" fillId="0" borderId="0" xfId="2" applyFont="1" applyAlignment="1">
      <alignment vertical="center" shrinkToFit="1"/>
    </xf>
    <xf numFmtId="0" fontId="5" fillId="0" borderId="36" xfId="0" applyFont="1" applyBorder="1" applyAlignment="1">
      <alignment horizontal="left" vertical="center"/>
    </xf>
    <xf numFmtId="0" fontId="3" fillId="2" borderId="0" xfId="3" applyFont="1" applyFill="1">
      <alignment vertical="center"/>
    </xf>
    <xf numFmtId="0" fontId="5" fillId="2" borderId="0" xfId="3" applyFont="1" applyFill="1">
      <alignment vertical="center"/>
    </xf>
    <xf numFmtId="0" fontId="5" fillId="2" borderId="0" xfId="3" applyFont="1" applyFill="1" applyProtection="1">
      <alignment vertical="center"/>
      <protection locked="0"/>
    </xf>
    <xf numFmtId="0" fontId="1" fillId="2" borderId="0" xfId="3" applyFill="1">
      <alignment vertical="center"/>
    </xf>
    <xf numFmtId="0" fontId="3" fillId="2" borderId="10" xfId="3" applyFont="1" applyFill="1" applyBorder="1" applyAlignment="1">
      <alignment horizontal="left" vertical="center"/>
    </xf>
    <xf numFmtId="0" fontId="3" fillId="2" borderId="11" xfId="3" applyFont="1" applyFill="1" applyBorder="1" applyAlignment="1">
      <alignment horizontal="left" vertical="center"/>
    </xf>
    <xf numFmtId="0" fontId="3" fillId="2" borderId="12" xfId="3" applyFont="1" applyFill="1" applyBorder="1" applyAlignment="1">
      <alignment horizontal="left" vertical="center"/>
    </xf>
    <xf numFmtId="0" fontId="3" fillId="2" borderId="4" xfId="3" applyFont="1" applyFill="1" applyBorder="1" applyAlignment="1">
      <alignment horizontal="left" vertical="center"/>
    </xf>
    <xf numFmtId="0" fontId="38" fillId="0" borderId="75" xfId="2" applyFont="1" applyBorder="1" applyAlignment="1">
      <alignment vertical="center"/>
    </xf>
    <xf numFmtId="0" fontId="38" fillId="0" borderId="77" xfId="2" applyFont="1" applyBorder="1" applyAlignment="1">
      <alignment vertical="center"/>
    </xf>
    <xf numFmtId="0" fontId="38" fillId="0" borderId="80" xfId="2" applyFont="1" applyBorder="1" applyAlignment="1">
      <alignment vertical="center"/>
    </xf>
    <xf numFmtId="0" fontId="0" fillId="2" borderId="13" xfId="2" applyFont="1" applyFill="1" applyBorder="1" applyAlignment="1">
      <alignment horizontal="centerContinuous" vertical="top"/>
    </xf>
    <xf numFmtId="0" fontId="7" fillId="2" borderId="34" xfId="2" applyFont="1" applyFill="1" applyBorder="1" applyAlignment="1">
      <alignment vertical="top" shrinkToFit="1"/>
    </xf>
    <xf numFmtId="0" fontId="0" fillId="2" borderId="13" xfId="2" applyFont="1" applyFill="1" applyBorder="1" applyAlignment="1">
      <alignment shrinkToFit="1"/>
    </xf>
    <xf numFmtId="0" fontId="1" fillId="2" borderId="22" xfId="2" applyFill="1" applyBorder="1" applyAlignment="1" applyProtection="1">
      <alignment horizontal="center"/>
      <protection locked="0"/>
    </xf>
    <xf numFmtId="0" fontId="1" fillId="2" borderId="0" xfId="2" applyFill="1" applyAlignment="1" applyProtection="1">
      <alignment horizontal="center"/>
      <protection locked="0"/>
    </xf>
    <xf numFmtId="0" fontId="4" fillId="2" borderId="22" xfId="2" applyFont="1" applyFill="1" applyBorder="1" applyAlignment="1" applyProtection="1">
      <alignment horizontal="center"/>
      <protection locked="0"/>
    </xf>
    <xf numFmtId="0" fontId="1" fillId="2" borderId="27" xfId="2" applyFill="1" applyBorder="1" applyAlignment="1" applyProtection="1">
      <alignment horizontal="center"/>
      <protection locked="0"/>
    </xf>
    <xf numFmtId="0" fontId="1" fillId="2" borderId="10" xfId="2" applyFill="1" applyBorder="1" applyAlignment="1" applyProtection="1">
      <alignment horizontal="center"/>
      <protection locked="0"/>
    </xf>
    <xf numFmtId="0" fontId="1" fillId="2" borderId="28" xfId="2" applyFill="1" applyBorder="1" applyAlignment="1" applyProtection="1">
      <alignment horizontal="center"/>
      <protection locked="0"/>
    </xf>
    <xf numFmtId="0" fontId="1" fillId="2" borderId="9" xfId="2" applyFill="1" applyBorder="1" applyAlignment="1" applyProtection="1">
      <alignment horizontal="center"/>
      <protection locked="0"/>
    </xf>
    <xf numFmtId="0" fontId="1" fillId="2" borderId="24" xfId="2" applyFill="1" applyBorder="1" applyAlignment="1" applyProtection="1">
      <alignment horizontal="center"/>
      <protection locked="0"/>
    </xf>
    <xf numFmtId="178" fontId="0" fillId="2" borderId="41" xfId="2" applyNumberFormat="1" applyFont="1" applyFill="1" applyBorder="1" applyAlignment="1">
      <alignment vertical="top"/>
    </xf>
    <xf numFmtId="178" fontId="0" fillId="2" borderId="34" xfId="2" applyNumberFormat="1" applyFont="1" applyFill="1" applyBorder="1"/>
    <xf numFmtId="0" fontId="7" fillId="2" borderId="34" xfId="2" applyFont="1" applyFill="1" applyBorder="1" applyAlignment="1">
      <alignment shrinkToFit="1"/>
    </xf>
    <xf numFmtId="178" fontId="0" fillId="2" borderId="0" xfId="2" applyNumberFormat="1" applyFont="1" applyFill="1"/>
    <xf numFmtId="178" fontId="1" fillId="2" borderId="41" xfId="2" applyNumberFormat="1" applyFill="1" applyBorder="1" applyAlignment="1">
      <alignment vertical="top"/>
    </xf>
    <xf numFmtId="178" fontId="1" fillId="2" borderId="34" xfId="2" applyNumberFormat="1" applyFill="1" applyBorder="1"/>
    <xf numFmtId="178" fontId="1" fillId="2" borderId="41" xfId="2" applyNumberFormat="1" applyFill="1" applyBorder="1"/>
    <xf numFmtId="0" fontId="1" fillId="2" borderId="51" xfId="2" applyFill="1" applyBorder="1" applyAlignment="1">
      <alignment shrinkToFit="1"/>
    </xf>
    <xf numFmtId="0" fontId="1" fillId="2" borderId="34" xfId="2" applyFill="1" applyBorder="1" applyAlignment="1">
      <alignment shrinkToFit="1"/>
    </xf>
    <xf numFmtId="178" fontId="25" fillId="0" borderId="0" xfId="2" applyNumberFormat="1" applyFont="1"/>
    <xf numFmtId="0" fontId="4" fillId="0" borderId="0" xfId="2" applyFont="1"/>
    <xf numFmtId="178" fontId="1" fillId="2" borderId="35" xfId="2" applyNumberFormat="1" applyFill="1" applyBorder="1"/>
    <xf numFmtId="0" fontId="1" fillId="2" borderId="35" xfId="2" applyFill="1" applyBorder="1" applyAlignment="1">
      <alignment shrinkToFit="1"/>
    </xf>
    <xf numFmtId="178" fontId="1" fillId="2" borderId="12" xfId="2" applyNumberFormat="1" applyFill="1" applyBorder="1"/>
    <xf numFmtId="0" fontId="1" fillId="2" borderId="12" xfId="2" applyFill="1" applyBorder="1"/>
    <xf numFmtId="0" fontId="1" fillId="2" borderId="12" xfId="2" applyFill="1" applyBorder="1" applyAlignment="1">
      <alignment horizontal="right"/>
    </xf>
    <xf numFmtId="0" fontId="7" fillId="2" borderId="51" xfId="2" applyFont="1" applyFill="1" applyBorder="1" applyAlignment="1">
      <alignment shrinkToFit="1"/>
    </xf>
    <xf numFmtId="178" fontId="1" fillId="2" borderId="40" xfId="2" applyNumberFormat="1" applyFill="1" applyBorder="1"/>
    <xf numFmtId="0" fontId="7" fillId="2" borderId="40" xfId="2" applyFont="1" applyFill="1" applyBorder="1" applyAlignment="1">
      <alignment shrinkToFit="1"/>
    </xf>
    <xf numFmtId="178" fontId="1" fillId="2" borderId="9" xfId="2" applyNumberFormat="1" applyFill="1" applyBorder="1"/>
    <xf numFmtId="0" fontId="0" fillId="2" borderId="9" xfId="2" applyFont="1" applyFill="1" applyBorder="1" applyAlignment="1">
      <alignment shrinkToFit="1"/>
    </xf>
    <xf numFmtId="0" fontId="1" fillId="2" borderId="9" xfId="2" applyFill="1" applyBorder="1"/>
    <xf numFmtId="178" fontId="1" fillId="0" borderId="9" xfId="2" applyNumberFormat="1" applyBorder="1"/>
    <xf numFmtId="0" fontId="1" fillId="0" borderId="9" xfId="2" applyBorder="1" applyAlignment="1">
      <alignment shrinkToFit="1"/>
    </xf>
    <xf numFmtId="0" fontId="1" fillId="0" borderId="9" xfId="2" applyBorder="1"/>
    <xf numFmtId="0" fontId="0" fillId="2" borderId="0" xfId="2" applyFont="1" applyFill="1" applyAlignment="1">
      <alignment shrinkToFit="1"/>
    </xf>
    <xf numFmtId="0" fontId="4" fillId="2" borderId="0" xfId="2" applyFont="1" applyFill="1"/>
    <xf numFmtId="0" fontId="0" fillId="0" borderId="0" xfId="2" applyFont="1" applyAlignment="1">
      <alignment shrinkToFit="1"/>
    </xf>
    <xf numFmtId="0" fontId="0" fillId="2" borderId="12" xfId="2" applyFont="1" applyFill="1" applyBorder="1" applyAlignment="1">
      <alignment shrinkToFit="1"/>
    </xf>
    <xf numFmtId="0" fontId="4" fillId="2" borderId="22" xfId="2" applyFont="1" applyFill="1" applyBorder="1"/>
    <xf numFmtId="178" fontId="1" fillId="2" borderId="43" xfId="2" applyNumberFormat="1" applyFill="1" applyBorder="1"/>
    <xf numFmtId="0" fontId="1" fillId="2" borderId="25" xfId="2" applyFill="1" applyBorder="1" applyAlignment="1">
      <alignment shrinkToFit="1"/>
    </xf>
    <xf numFmtId="178" fontId="1" fillId="2" borderId="44" xfId="2" applyNumberFormat="1" applyFill="1" applyBorder="1"/>
    <xf numFmtId="0" fontId="1" fillId="2" borderId="44" xfId="2" applyFill="1" applyBorder="1" applyAlignment="1">
      <alignment shrinkToFit="1"/>
    </xf>
    <xf numFmtId="178" fontId="1" fillId="2" borderId="13" xfId="2" applyNumberFormat="1" applyFill="1" applyBorder="1"/>
    <xf numFmtId="0" fontId="1" fillId="2" borderId="13" xfId="2" applyFill="1" applyBorder="1"/>
    <xf numFmtId="0" fontId="1" fillId="2" borderId="13" xfId="2" applyFill="1" applyBorder="1" applyAlignment="1">
      <alignment horizontal="right"/>
    </xf>
    <xf numFmtId="0" fontId="0" fillId="0" borderId="9" xfId="2" applyFont="1" applyBorder="1" applyAlignment="1">
      <alignment shrinkToFit="1"/>
    </xf>
    <xf numFmtId="0" fontId="1" fillId="2" borderId="13" xfId="2" applyFill="1" applyBorder="1" applyAlignment="1">
      <alignment shrinkToFit="1"/>
    </xf>
    <xf numFmtId="0" fontId="7" fillId="2" borderId="34" xfId="2" applyFont="1" applyFill="1" applyBorder="1" applyAlignment="1">
      <alignment vertical="top" wrapText="1" shrinkToFit="1"/>
    </xf>
    <xf numFmtId="0" fontId="5" fillId="0" borderId="7" xfId="3" applyFont="1" applyBorder="1">
      <alignment vertical="center"/>
    </xf>
    <xf numFmtId="0" fontId="5" fillId="0" borderId="6" xfId="3" applyFont="1" applyBorder="1">
      <alignment vertical="center"/>
    </xf>
    <xf numFmtId="0" fontId="5" fillId="0" borderId="19" xfId="3" applyFont="1" applyBorder="1">
      <alignment vertical="center"/>
    </xf>
    <xf numFmtId="0" fontId="8" fillId="2" borderId="0" xfId="0" applyFont="1" applyFill="1" applyAlignment="1">
      <alignment vertical="center" wrapText="1"/>
    </xf>
    <xf numFmtId="0" fontId="8" fillId="2" borderId="0" xfId="0" applyFont="1" applyFill="1" applyAlignment="1">
      <alignment horizontal="left" vertical="center" wrapText="1"/>
    </xf>
    <xf numFmtId="0" fontId="3" fillId="2" borderId="32" xfId="0" applyFont="1" applyFill="1" applyBorder="1">
      <alignment vertical="center"/>
    </xf>
    <xf numFmtId="0" fontId="3" fillId="2" borderId="10" xfId="0" applyFont="1" applyFill="1" applyBorder="1">
      <alignment vertical="center"/>
    </xf>
    <xf numFmtId="0" fontId="3" fillId="2" borderId="11" xfId="0" applyFont="1" applyFill="1" applyBorder="1">
      <alignment vertical="center"/>
    </xf>
    <xf numFmtId="0" fontId="5" fillId="0" borderId="47" xfId="3" applyFont="1" applyBorder="1">
      <alignment vertical="center"/>
    </xf>
    <xf numFmtId="0" fontId="5" fillId="0" borderId="31" xfId="3" applyFont="1" applyBorder="1">
      <alignment vertical="center"/>
    </xf>
    <xf numFmtId="0" fontId="5" fillId="0" borderId="26" xfId="3" applyFont="1" applyBorder="1">
      <alignment vertical="center"/>
    </xf>
    <xf numFmtId="0" fontId="1" fillId="0" borderId="6" xfId="3" applyBorder="1">
      <alignment vertical="center"/>
    </xf>
    <xf numFmtId="0" fontId="1" fillId="0" borderId="19" xfId="3" applyBorder="1">
      <alignment vertical="center"/>
    </xf>
    <xf numFmtId="0" fontId="5" fillId="2" borderId="22" xfId="3" applyFont="1" applyFill="1" applyBorder="1" applyAlignment="1">
      <alignment horizontal="center" vertical="center" wrapText="1"/>
    </xf>
    <xf numFmtId="0" fontId="5" fillId="2" borderId="0" xfId="3" applyFont="1" applyFill="1" applyAlignment="1">
      <alignment horizontal="center" vertical="center" wrapText="1"/>
    </xf>
    <xf numFmtId="0" fontId="5" fillId="2" borderId="51" xfId="3" applyFont="1" applyFill="1" applyBorder="1" applyAlignment="1">
      <alignment horizontal="center" vertical="center" wrapText="1"/>
    </xf>
    <xf numFmtId="0" fontId="0" fillId="2" borderId="10" xfId="2" applyFont="1" applyFill="1" applyBorder="1" applyAlignment="1" applyProtection="1">
      <alignment horizontal="center"/>
      <protection locked="0"/>
    </xf>
    <xf numFmtId="0" fontId="1" fillId="2" borderId="12" xfId="2" applyFill="1" applyBorder="1" applyAlignment="1">
      <alignment shrinkToFit="1"/>
    </xf>
    <xf numFmtId="178" fontId="1" fillId="2" borderId="42" xfId="2" applyNumberFormat="1" applyFill="1" applyBorder="1"/>
    <xf numFmtId="0" fontId="1" fillId="2" borderId="18" xfId="2" applyFill="1" applyBorder="1" applyAlignment="1">
      <alignment shrinkToFit="1"/>
    </xf>
    <xf numFmtId="178" fontId="1" fillId="2" borderId="39" xfId="2" applyNumberFormat="1" applyFill="1" applyBorder="1" applyAlignment="1">
      <alignment vertical="top"/>
    </xf>
    <xf numFmtId="0" fontId="7" fillId="2" borderId="29" xfId="2" applyFont="1" applyFill="1" applyBorder="1" applyAlignment="1">
      <alignment vertical="top" shrinkToFit="1"/>
    </xf>
    <xf numFmtId="0" fontId="1" fillId="2" borderId="9" xfId="2" applyFill="1" applyBorder="1" applyAlignment="1">
      <alignment shrinkToFit="1"/>
    </xf>
    <xf numFmtId="0" fontId="1" fillId="2" borderId="22" xfId="2" applyFill="1" applyBorder="1" applyAlignment="1">
      <alignment horizontal="center"/>
    </xf>
    <xf numFmtId="0" fontId="4" fillId="0" borderId="9" xfId="2" applyFont="1" applyBorder="1"/>
    <xf numFmtId="0" fontId="7" fillId="2" borderId="51" xfId="2" applyFont="1" applyFill="1" applyBorder="1" applyAlignment="1">
      <alignment vertical="top" shrinkToFit="1"/>
    </xf>
    <xf numFmtId="0" fontId="5" fillId="2" borderId="3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8"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37"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4" xfId="0" applyFont="1" applyFill="1" applyBorder="1" applyAlignment="1">
      <alignment horizontal="center" vertical="center" shrinkToFit="1"/>
    </xf>
    <xf numFmtId="0" fontId="0" fillId="2" borderId="29" xfId="0" applyFill="1" applyBorder="1" applyAlignment="1">
      <alignment horizontal="center" vertical="center"/>
    </xf>
    <xf numFmtId="0" fontId="5" fillId="2" borderId="27" xfId="0" applyFont="1" applyFill="1" applyBorder="1" applyAlignment="1">
      <alignment horizontal="center" vertical="center" shrinkToFit="1"/>
    </xf>
    <xf numFmtId="0" fontId="0" fillId="2" borderId="9" xfId="0" applyFill="1" applyBorder="1">
      <alignment vertical="center"/>
    </xf>
    <xf numFmtId="178" fontId="5" fillId="3" borderId="21" xfId="0" applyNumberFormat="1" applyFont="1" applyFill="1" applyBorder="1" applyAlignment="1" applyProtection="1">
      <alignment horizontal="center" vertical="center"/>
      <protection locked="0"/>
    </xf>
    <xf numFmtId="178" fontId="5" fillId="3" borderId="19" xfId="0" applyNumberFormat="1" applyFont="1" applyFill="1" applyBorder="1" applyAlignment="1" applyProtection="1">
      <alignment horizontal="center" vertical="center"/>
      <protection locked="0"/>
    </xf>
    <xf numFmtId="0" fontId="5" fillId="2" borderId="21" xfId="0" applyFont="1" applyFill="1" applyBorder="1" applyAlignment="1">
      <alignment horizontal="left" vertical="center" shrinkToFit="1"/>
    </xf>
    <xf numFmtId="0" fontId="5" fillId="2" borderId="6" xfId="0" applyFont="1" applyFill="1" applyBorder="1" applyAlignment="1">
      <alignment horizontal="left" vertical="center" shrinkToFit="1"/>
    </xf>
    <xf numFmtId="178" fontId="5" fillId="3" borderId="30" xfId="0" applyNumberFormat="1" applyFont="1" applyFill="1" applyBorder="1" applyAlignment="1" applyProtection="1">
      <alignment horizontal="center" vertical="center"/>
      <protection locked="0"/>
    </xf>
    <xf numFmtId="178" fontId="5" fillId="3" borderId="26" xfId="0" applyNumberFormat="1" applyFont="1" applyFill="1" applyBorder="1" applyAlignment="1" applyProtection="1">
      <alignment horizontal="center" vertical="center"/>
      <protection locked="0"/>
    </xf>
    <xf numFmtId="0" fontId="5" fillId="2" borderId="30" xfId="0" applyFont="1" applyFill="1" applyBorder="1" applyAlignment="1">
      <alignment horizontal="left" vertical="center" shrinkToFit="1"/>
    </xf>
    <xf numFmtId="0" fontId="5" fillId="2" borderId="31" xfId="0" applyFont="1" applyFill="1" applyBorder="1" applyAlignment="1">
      <alignment horizontal="left" vertical="center" shrinkToFit="1"/>
    </xf>
    <xf numFmtId="0" fontId="5" fillId="2" borderId="3" xfId="0" applyFont="1" applyFill="1" applyBorder="1" applyAlignment="1">
      <alignment horizontal="left" vertical="center" shrinkToFit="1"/>
    </xf>
    <xf numFmtId="0" fontId="5" fillId="2" borderId="1" xfId="0" applyFont="1" applyFill="1" applyBorder="1" applyAlignment="1">
      <alignment horizontal="left" vertical="center" shrinkToFit="1"/>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9" xfId="0" applyFont="1" applyFill="1" applyBorder="1" applyAlignment="1">
      <alignment horizontal="center" vertical="center"/>
    </xf>
    <xf numFmtId="0" fontId="5" fillId="3" borderId="21" xfId="0" applyFont="1" applyFill="1" applyBorder="1" applyProtection="1">
      <alignment vertical="center"/>
      <protection locked="0"/>
    </xf>
    <xf numFmtId="0" fontId="5" fillId="3" borderId="6" xfId="0" applyFont="1" applyFill="1" applyBorder="1" applyProtection="1">
      <alignment vertical="center"/>
      <protection locked="0"/>
    </xf>
    <xf numFmtId="0" fontId="5" fillId="3" borderId="19" xfId="0" applyFont="1" applyFill="1" applyBorder="1" applyProtection="1">
      <alignment vertical="center"/>
      <protection locked="0"/>
    </xf>
    <xf numFmtId="0" fontId="5" fillId="2" borderId="21"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3" borderId="1" xfId="0" applyFont="1" applyFill="1" applyBorder="1" applyProtection="1">
      <alignment vertical="center"/>
      <protection locked="0"/>
    </xf>
    <xf numFmtId="0" fontId="10" fillId="2" borderId="7"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5" fillId="3" borderId="12" xfId="0" applyFont="1" applyFill="1" applyBorder="1" applyAlignment="1" applyProtection="1">
      <alignment vertical="center" wrapText="1"/>
      <protection locked="0"/>
    </xf>
    <xf numFmtId="0" fontId="5" fillId="3" borderId="4" xfId="0" applyFont="1" applyFill="1" applyBorder="1" applyAlignment="1" applyProtection="1">
      <alignment vertical="center" wrapText="1"/>
      <protection locked="0"/>
    </xf>
    <xf numFmtId="0" fontId="5" fillId="2" borderId="5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8" fillId="2" borderId="28"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8" xfId="0" applyFont="1" applyFill="1" applyBorder="1" applyAlignment="1">
      <alignment horizontal="center" vertical="center"/>
    </xf>
    <xf numFmtId="0" fontId="5" fillId="3" borderId="28" xfId="0" applyFont="1" applyFill="1" applyBorder="1" applyProtection="1">
      <alignment vertical="center"/>
      <protection locked="0"/>
    </xf>
    <xf numFmtId="0" fontId="5" fillId="3" borderId="12" xfId="0" applyFont="1" applyFill="1" applyBorder="1" applyProtection="1">
      <alignment vertical="center"/>
      <protection locked="0"/>
    </xf>
    <xf numFmtId="0" fontId="5" fillId="3" borderId="4" xfId="0" applyFont="1" applyFill="1" applyBorder="1" applyProtection="1">
      <alignment vertical="center"/>
      <protection locked="0"/>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26" xfId="0" applyFont="1" applyFill="1" applyBorder="1" applyAlignment="1">
      <alignment horizontal="center" vertical="center"/>
    </xf>
    <xf numFmtId="0" fontId="5" fillId="3" borderId="24" xfId="0" applyFont="1" applyFill="1" applyBorder="1" applyProtection="1">
      <alignment vertical="center"/>
      <protection locked="0"/>
    </xf>
    <xf numFmtId="0" fontId="5" fillId="3" borderId="13" xfId="0" applyFont="1" applyFill="1" applyBorder="1" applyProtection="1">
      <alignment vertical="center"/>
      <protection locked="0"/>
    </xf>
    <xf numFmtId="0" fontId="5" fillId="3" borderId="17" xfId="0" applyFont="1" applyFill="1" applyBorder="1" applyProtection="1">
      <alignment vertical="center"/>
      <protection locked="0"/>
    </xf>
    <xf numFmtId="0" fontId="8" fillId="2" borderId="37"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20"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8" xfId="0" applyFont="1" applyFill="1" applyBorder="1" applyAlignment="1">
      <alignment horizontal="center" vertical="center"/>
    </xf>
    <xf numFmtId="0" fontId="5" fillId="3" borderId="28" xfId="0" applyFont="1" applyFill="1" applyBorder="1" applyAlignment="1" applyProtection="1">
      <alignment horizontal="left" vertical="center"/>
      <protection locked="0"/>
    </xf>
    <xf numFmtId="0" fontId="5" fillId="3" borderId="12"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5" fillId="2" borderId="21" xfId="0" applyFont="1" applyFill="1" applyBorder="1" applyAlignment="1">
      <alignment horizontal="center" vertical="center"/>
    </xf>
    <xf numFmtId="0" fontId="42" fillId="2" borderId="31" xfId="0" applyFont="1" applyFill="1" applyBorder="1" applyAlignment="1">
      <alignment horizontal="left" vertical="center" wrapText="1"/>
    </xf>
    <xf numFmtId="0" fontId="27" fillId="2" borderId="31" xfId="0" applyFont="1" applyFill="1" applyBorder="1" applyAlignment="1">
      <alignment horizontal="left" vertical="center" wrapText="1"/>
    </xf>
    <xf numFmtId="0" fontId="27" fillId="2" borderId="3" xfId="0" applyFont="1" applyFill="1" applyBorder="1" applyAlignment="1">
      <alignment horizontal="left" vertical="center" wrapText="1"/>
    </xf>
    <xf numFmtId="49" fontId="34" fillId="3" borderId="30" xfId="0" applyNumberFormat="1" applyFont="1" applyFill="1" applyBorder="1" applyAlignment="1" applyProtection="1">
      <alignment horizontal="center" vertical="center"/>
      <protection locked="0"/>
    </xf>
    <xf numFmtId="49" fontId="34" fillId="3" borderId="31" xfId="0" applyNumberFormat="1" applyFont="1" applyFill="1" applyBorder="1" applyAlignment="1" applyProtection="1">
      <alignment horizontal="center" vertical="center"/>
      <protection locked="0"/>
    </xf>
    <xf numFmtId="49" fontId="34" fillId="3" borderId="65" xfId="0" applyNumberFormat="1" applyFont="1" applyFill="1" applyBorder="1" applyAlignment="1" applyProtection="1">
      <alignment horizontal="center" vertical="center"/>
      <protection locked="0"/>
    </xf>
    <xf numFmtId="0" fontId="5" fillId="3" borderId="18" xfId="0" applyFont="1" applyFill="1" applyBorder="1" applyAlignment="1" applyProtection="1">
      <alignment horizontal="left" vertical="center"/>
      <protection locked="0"/>
    </xf>
    <xf numFmtId="0" fontId="5" fillId="2" borderId="28" xfId="0" applyFont="1" applyFill="1" applyBorder="1" applyAlignment="1">
      <alignment horizontal="center" vertical="center"/>
    </xf>
    <xf numFmtId="0" fontId="0" fillId="2" borderId="18" xfId="0" applyFill="1" applyBorder="1">
      <alignment vertical="center"/>
    </xf>
    <xf numFmtId="0" fontId="20" fillId="2" borderId="47" xfId="0" applyFont="1" applyFill="1" applyBorder="1" applyAlignment="1">
      <alignment horizontal="center" vertical="center"/>
    </xf>
    <xf numFmtId="0" fontId="20" fillId="2" borderId="31" xfId="0" applyFont="1" applyFill="1" applyBorder="1" applyAlignment="1">
      <alignment horizontal="center" vertical="center"/>
    </xf>
    <xf numFmtId="180" fontId="5" fillId="0" borderId="45" xfId="0" applyNumberFormat="1" applyFont="1" applyBorder="1" applyAlignment="1">
      <alignment horizontal="center" vertical="center"/>
    </xf>
    <xf numFmtId="180" fontId="5" fillId="0" borderId="2" xfId="0" applyNumberFormat="1" applyFont="1" applyBorder="1" applyAlignment="1">
      <alignment horizontal="center" vertical="center"/>
    </xf>
    <xf numFmtId="180" fontId="5" fillId="3" borderId="38" xfId="0" applyNumberFormat="1" applyFont="1" applyFill="1" applyBorder="1" applyAlignment="1" applyProtection="1">
      <alignment horizontal="left" vertical="center"/>
      <protection locked="0"/>
    </xf>
    <xf numFmtId="180" fontId="5" fillId="3" borderId="45" xfId="0" applyNumberFormat="1" applyFont="1" applyFill="1" applyBorder="1" applyAlignment="1" applyProtection="1">
      <alignment horizontal="left" vertical="center"/>
      <protection locked="0"/>
    </xf>
    <xf numFmtId="0" fontId="8" fillId="0" borderId="38" xfId="0" applyFont="1" applyBorder="1" applyAlignment="1">
      <alignment horizontal="center" vertical="center"/>
    </xf>
    <xf numFmtId="0" fontId="8" fillId="0" borderId="45" xfId="0" applyFont="1" applyBorder="1" applyAlignment="1">
      <alignment horizontal="center" vertical="center"/>
    </xf>
    <xf numFmtId="0" fontId="8" fillId="0" borderId="20" xfId="0" applyFont="1" applyBorder="1" applyAlignment="1">
      <alignment horizontal="center" vertical="center"/>
    </xf>
    <xf numFmtId="49" fontId="5" fillId="3" borderId="38" xfId="0" applyNumberFormat="1" applyFont="1" applyFill="1" applyBorder="1" applyProtection="1">
      <alignment vertical="center"/>
      <protection locked="0"/>
    </xf>
    <xf numFmtId="49" fontId="5" fillId="3" borderId="45" xfId="0" applyNumberFormat="1" applyFont="1" applyFill="1" applyBorder="1" applyProtection="1">
      <alignment vertical="center"/>
      <protection locked="0"/>
    </xf>
    <xf numFmtId="49" fontId="5" fillId="3" borderId="20" xfId="0" applyNumberFormat="1" applyFont="1" applyFill="1" applyBorder="1" applyProtection="1">
      <alignment vertical="center"/>
      <protection locked="0"/>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51"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9" xfId="0" applyFont="1" applyFill="1" applyBorder="1" applyAlignment="1">
      <alignment horizontal="center" vertical="center"/>
    </xf>
    <xf numFmtId="176" fontId="10" fillId="0" borderId="6" xfId="0" applyNumberFormat="1" applyFont="1" applyBorder="1" applyAlignment="1">
      <alignment horizontal="center" vertical="center"/>
    </xf>
    <xf numFmtId="176" fontId="10" fillId="0" borderId="1" xfId="0" applyNumberFormat="1" applyFont="1" applyBorder="1" applyAlignment="1">
      <alignment horizontal="center" vertical="center"/>
    </xf>
    <xf numFmtId="0" fontId="27" fillId="3" borderId="28" xfId="0" applyFont="1" applyFill="1" applyBorder="1" applyAlignment="1" applyProtection="1">
      <alignment horizontal="left" vertical="center" wrapText="1"/>
      <protection locked="0"/>
    </xf>
    <xf numFmtId="0" fontId="27" fillId="3" borderId="12" xfId="0" applyFont="1" applyFill="1" applyBorder="1" applyAlignment="1" applyProtection="1">
      <alignment horizontal="left" vertical="center" wrapText="1"/>
      <protection locked="0"/>
    </xf>
    <xf numFmtId="0" fontId="27" fillId="3" borderId="18" xfId="0" applyFont="1" applyFill="1" applyBorder="1" applyAlignment="1" applyProtection="1">
      <alignment horizontal="left" vertical="center" wrapText="1"/>
      <protection locked="0"/>
    </xf>
    <xf numFmtId="0" fontId="3" fillId="2" borderId="0" xfId="0" applyFont="1" applyFill="1" applyAlignment="1">
      <alignment vertical="top"/>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0" fillId="2" borderId="0" xfId="0" applyFill="1" applyAlignment="1">
      <alignment horizontal="left" vertical="center"/>
    </xf>
    <xf numFmtId="0" fontId="29" fillId="2" borderId="61" xfId="0" applyFont="1" applyFill="1" applyBorder="1" applyAlignment="1">
      <alignment horizontal="center" vertical="center"/>
    </xf>
    <xf numFmtId="0" fontId="29" fillId="2" borderId="62"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36" xfId="0" applyFont="1" applyFill="1" applyBorder="1" applyAlignment="1">
      <alignment horizontal="center" vertical="center"/>
    </xf>
    <xf numFmtId="0" fontId="10" fillId="2" borderId="63" xfId="0" applyFont="1" applyFill="1" applyBorder="1" applyAlignment="1">
      <alignment horizontal="center" vertical="center"/>
    </xf>
    <xf numFmtId="0" fontId="15" fillId="2" borderId="59" xfId="0" applyFont="1" applyFill="1" applyBorder="1">
      <alignment vertical="center"/>
    </xf>
    <xf numFmtId="0" fontId="15" fillId="2" borderId="64" xfId="0" applyFont="1" applyFill="1" applyBorder="1">
      <alignment vertical="center"/>
    </xf>
    <xf numFmtId="0" fontId="5" fillId="4" borderId="58" xfId="0" applyFont="1" applyFill="1" applyBorder="1" applyAlignment="1" applyProtection="1">
      <alignment horizontal="left" vertical="center"/>
      <protection locked="0"/>
    </xf>
    <xf numFmtId="0" fontId="5" fillId="4" borderId="59" xfId="0" applyFont="1" applyFill="1" applyBorder="1" applyAlignment="1" applyProtection="1">
      <alignment horizontal="left" vertical="center"/>
      <protection locked="0"/>
    </xf>
    <xf numFmtId="0" fontId="5" fillId="4" borderId="60" xfId="0" applyFont="1" applyFill="1" applyBorder="1" applyAlignment="1" applyProtection="1">
      <alignment horizontal="left" vertical="center"/>
      <protection locked="0"/>
    </xf>
    <xf numFmtId="179" fontId="19" fillId="0" borderId="0" xfId="0" applyNumberFormat="1" applyFont="1" applyAlignment="1">
      <alignment horizontal="center" vertical="center"/>
    </xf>
    <xf numFmtId="0" fontId="7" fillId="2" borderId="0" xfId="0" applyFont="1" applyFill="1" applyAlignment="1">
      <alignment horizontal="center" vertical="center"/>
    </xf>
    <xf numFmtId="0" fontId="34" fillId="3" borderId="48" xfId="0" applyFont="1" applyFill="1" applyBorder="1" applyAlignment="1" applyProtection="1">
      <alignment horizontal="center" vertical="center"/>
      <protection locked="0"/>
    </xf>
    <xf numFmtId="0" fontId="34" fillId="3" borderId="36"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0" fontId="33" fillId="0" borderId="5" xfId="0" applyFont="1" applyBorder="1" applyAlignment="1">
      <alignment horizontal="center" vertical="center"/>
    </xf>
    <xf numFmtId="0" fontId="33" fillId="0" borderId="0" xfId="0" applyFont="1" applyAlignment="1">
      <alignment horizontal="center" vertical="center"/>
    </xf>
    <xf numFmtId="0" fontId="6" fillId="2" borderId="0" xfId="0" applyFont="1" applyFill="1" applyAlignment="1">
      <alignment horizontal="center" vertical="center"/>
    </xf>
    <xf numFmtId="183" fontId="5" fillId="3" borderId="30" xfId="0" applyNumberFormat="1" applyFont="1" applyFill="1" applyBorder="1" applyAlignment="1" applyProtection="1">
      <alignment horizontal="right" vertical="center"/>
      <protection locked="0"/>
    </xf>
    <xf numFmtId="183" fontId="5" fillId="3" borderId="31" xfId="0" applyNumberFormat="1" applyFont="1" applyFill="1" applyBorder="1" applyAlignment="1" applyProtection="1">
      <alignment horizontal="right" vertical="center"/>
      <protection locked="0"/>
    </xf>
    <xf numFmtId="0" fontId="3" fillId="2" borderId="32"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46" xfId="0" applyFont="1" applyFill="1" applyBorder="1" applyAlignment="1">
      <alignment horizontal="left" vertical="center"/>
    </xf>
    <xf numFmtId="0" fontId="3" fillId="2" borderId="12" xfId="0" applyFont="1" applyFill="1" applyBorder="1" applyAlignment="1">
      <alignment horizontal="left" vertical="center"/>
    </xf>
    <xf numFmtId="0" fontId="3" fillId="2" borderId="4" xfId="0" applyFont="1" applyFill="1" applyBorder="1" applyAlignment="1">
      <alignment horizontal="left" vertical="center"/>
    </xf>
    <xf numFmtId="20" fontId="5" fillId="3" borderId="21" xfId="0" applyNumberFormat="1" applyFont="1" applyFill="1" applyBorder="1" applyAlignment="1" applyProtection="1">
      <alignment horizontal="left" vertical="center" shrinkToFit="1"/>
      <protection locked="0"/>
    </xf>
    <xf numFmtId="20" fontId="5" fillId="3" borderId="6" xfId="0" applyNumberFormat="1" applyFont="1" applyFill="1" applyBorder="1" applyAlignment="1" applyProtection="1">
      <alignment horizontal="left" vertical="center" shrinkToFit="1"/>
      <protection locked="0"/>
    </xf>
    <xf numFmtId="20" fontId="5" fillId="3" borderId="1" xfId="0" applyNumberFormat="1" applyFont="1" applyFill="1" applyBorder="1" applyAlignment="1" applyProtection="1">
      <alignment horizontal="left" vertical="center" shrinkToFit="1"/>
      <protection locked="0"/>
    </xf>
    <xf numFmtId="183" fontId="5" fillId="3" borderId="21" xfId="0" applyNumberFormat="1" applyFont="1" applyFill="1" applyBorder="1" applyAlignment="1" applyProtection="1">
      <alignment horizontal="right" vertical="center"/>
      <protection locked="0"/>
    </xf>
    <xf numFmtId="183" fontId="5" fillId="3" borderId="6" xfId="0" applyNumberFormat="1" applyFont="1" applyFill="1" applyBorder="1" applyAlignment="1" applyProtection="1">
      <alignment horizontal="right" vertical="center"/>
      <protection locked="0"/>
    </xf>
    <xf numFmtId="0" fontId="5" fillId="4" borderId="33" xfId="0" applyFont="1" applyFill="1" applyBorder="1" applyAlignment="1" applyProtection="1">
      <alignment horizontal="center" vertical="center"/>
      <protection locked="0"/>
    </xf>
    <xf numFmtId="0" fontId="5" fillId="4" borderId="53" xfId="0" applyFont="1" applyFill="1" applyBorder="1" applyAlignment="1" applyProtection="1">
      <alignment horizontal="center" vertical="center"/>
      <protection locked="0"/>
    </xf>
    <xf numFmtId="0" fontId="5" fillId="3" borderId="0" xfId="0" applyFont="1" applyFill="1" applyAlignment="1" applyProtection="1">
      <alignment horizontal="right" vertical="center"/>
      <protection locked="0"/>
    </xf>
    <xf numFmtId="0" fontId="5" fillId="3" borderId="27" xfId="0" applyFont="1" applyFill="1" applyBorder="1" applyAlignment="1" applyProtection="1">
      <alignment vertical="center" wrapText="1"/>
      <protection locked="0"/>
    </xf>
    <xf numFmtId="0" fontId="5" fillId="3" borderId="9" xfId="0" applyFont="1" applyFill="1" applyBorder="1" applyAlignment="1" applyProtection="1">
      <alignment vertical="center" wrapText="1"/>
      <protection locked="0"/>
    </xf>
    <xf numFmtId="0" fontId="5" fillId="3" borderId="15" xfId="0" applyFont="1" applyFill="1" applyBorder="1" applyAlignment="1" applyProtection="1">
      <alignment vertical="center" wrapText="1"/>
      <protection locked="0"/>
    </xf>
    <xf numFmtId="0" fontId="5" fillId="3" borderId="28" xfId="0" applyFont="1" applyFill="1" applyBorder="1" applyAlignment="1" applyProtection="1">
      <alignment vertical="center" wrapText="1"/>
      <protection locked="0"/>
    </xf>
    <xf numFmtId="0" fontId="5" fillId="3" borderId="0" xfId="0" applyFont="1" applyFill="1" applyAlignment="1" applyProtection="1">
      <alignment horizontal="center" vertical="center"/>
      <protection locked="0"/>
    </xf>
    <xf numFmtId="14" fontId="5" fillId="2" borderId="0" xfId="0" applyNumberFormat="1" applyFont="1" applyFill="1" applyAlignment="1">
      <alignment horizontal="center" vertical="center" wrapText="1"/>
    </xf>
    <xf numFmtId="0" fontId="5" fillId="2" borderId="21" xfId="0" applyFont="1" applyFill="1" applyBorder="1" applyAlignment="1">
      <alignment vertical="center" shrinkToFit="1"/>
    </xf>
    <xf numFmtId="0" fontId="5" fillId="2" borderId="6" xfId="0" applyFont="1" applyFill="1" applyBorder="1" applyAlignment="1">
      <alignment vertical="center" shrinkToFit="1"/>
    </xf>
    <xf numFmtId="0" fontId="5" fillId="2" borderId="19" xfId="0" applyFont="1" applyFill="1" applyBorder="1" applyAlignment="1">
      <alignment vertical="center" shrinkToFit="1"/>
    </xf>
    <xf numFmtId="0" fontId="5" fillId="2" borderId="9"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28"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29"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3" borderId="6" xfId="0" applyFont="1" applyFill="1" applyBorder="1" applyAlignment="1" applyProtection="1">
      <alignment horizontal="center" vertical="center" shrinkToFit="1"/>
      <protection locked="0"/>
    </xf>
    <xf numFmtId="0" fontId="5" fillId="3" borderId="1" xfId="0" applyFont="1" applyFill="1" applyBorder="1" applyAlignment="1" applyProtection="1">
      <alignment horizontal="center" vertical="center" shrinkToFit="1"/>
      <protection locked="0"/>
    </xf>
    <xf numFmtId="0" fontId="5" fillId="2" borderId="46" xfId="0" applyFont="1" applyFill="1" applyBorder="1" applyAlignment="1">
      <alignment horizontal="center" vertical="center" shrinkToFit="1"/>
    </xf>
    <xf numFmtId="0" fontId="5" fillId="2" borderId="7" xfId="0" applyFont="1" applyFill="1" applyBorder="1" applyAlignment="1">
      <alignment vertical="center" shrinkToFit="1"/>
    </xf>
    <xf numFmtId="0" fontId="5" fillId="3" borderId="21" xfId="0" applyFont="1" applyFill="1" applyBorder="1" applyAlignment="1" applyProtection="1">
      <alignment horizontal="center" vertical="center" shrinkToFit="1"/>
      <protection locked="0"/>
    </xf>
    <xf numFmtId="0" fontId="5" fillId="3" borderId="19" xfId="0" applyFont="1" applyFill="1" applyBorder="1" applyAlignment="1" applyProtection="1">
      <alignment horizontal="center" vertical="center" shrinkToFit="1"/>
      <protection locked="0"/>
    </xf>
    <xf numFmtId="0" fontId="5" fillId="3" borderId="14"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center" wrapText="1"/>
      <protection locked="0"/>
    </xf>
    <xf numFmtId="0" fontId="5" fillId="3" borderId="29" xfId="0" applyFont="1" applyFill="1" applyBorder="1" applyAlignment="1" applyProtection="1">
      <alignment horizontal="left" vertical="center" wrapText="1"/>
      <protection locked="0"/>
    </xf>
    <xf numFmtId="0" fontId="5" fillId="3" borderId="46"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8" xfId="0" applyFont="1" applyFill="1" applyBorder="1" applyAlignment="1" applyProtection="1">
      <alignment horizontal="left" vertical="center" wrapText="1"/>
      <protection locked="0"/>
    </xf>
    <xf numFmtId="0" fontId="5" fillId="4" borderId="55" xfId="0" applyFont="1" applyFill="1" applyBorder="1" applyAlignment="1" applyProtection="1">
      <alignment horizontal="center" vertical="center"/>
      <protection locked="0"/>
    </xf>
    <xf numFmtId="0" fontId="5" fillId="4" borderId="56" xfId="0" applyFont="1" applyFill="1" applyBorder="1" applyAlignment="1" applyProtection="1">
      <alignment horizontal="center" vertical="center"/>
      <protection locked="0"/>
    </xf>
    <xf numFmtId="183" fontId="43" fillId="3" borderId="21" xfId="1" applyNumberFormat="1" applyFont="1" applyFill="1" applyBorder="1" applyAlignment="1" applyProtection="1">
      <alignment horizontal="right" vertical="center"/>
      <protection locked="0"/>
    </xf>
    <xf numFmtId="183" fontId="43" fillId="3" borderId="6" xfId="1" applyNumberFormat="1" applyFont="1" applyFill="1" applyBorder="1" applyAlignment="1" applyProtection="1">
      <alignment horizontal="right" vertical="center"/>
      <protection locked="0"/>
    </xf>
    <xf numFmtId="0" fontId="5" fillId="2" borderId="7" xfId="0" applyFont="1" applyFill="1" applyBorder="1" applyAlignment="1">
      <alignment horizontal="left" vertical="center" shrinkToFit="1"/>
    </xf>
    <xf numFmtId="0" fontId="5" fillId="2" borderId="19" xfId="0" applyFont="1" applyFill="1" applyBorder="1" applyAlignment="1">
      <alignment horizontal="left" vertical="center" shrinkToFit="1"/>
    </xf>
    <xf numFmtId="0" fontId="5" fillId="3" borderId="6" xfId="0" applyFont="1" applyFill="1" applyBorder="1" applyAlignment="1" applyProtection="1">
      <alignment horizontal="right" vertical="center"/>
      <protection locked="0"/>
    </xf>
    <xf numFmtId="0" fontId="23" fillId="2" borderId="6" xfId="0" applyFont="1" applyFill="1" applyBorder="1" applyAlignment="1">
      <alignment vertical="center" wrapText="1"/>
    </xf>
    <xf numFmtId="0" fontId="23" fillId="2" borderId="1" xfId="0" applyFont="1" applyFill="1" applyBorder="1" applyAlignment="1">
      <alignment vertical="center" wrapText="1"/>
    </xf>
    <xf numFmtId="0" fontId="5" fillId="3" borderId="21" xfId="0" applyFont="1" applyFill="1" applyBorder="1" applyAlignment="1" applyProtection="1">
      <alignment horizontal="right" vertical="center"/>
      <protection locked="0"/>
    </xf>
    <xf numFmtId="0" fontId="5" fillId="2" borderId="1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 xfId="0" applyFont="1" applyFill="1" applyBorder="1" applyAlignment="1">
      <alignment horizontal="center" vertical="center"/>
    </xf>
    <xf numFmtId="0" fontId="3" fillId="2" borderId="32" xfId="3" applyFont="1" applyFill="1" applyBorder="1" applyAlignment="1">
      <alignment vertical="center" wrapText="1"/>
    </xf>
    <xf numFmtId="0" fontId="3" fillId="2" borderId="10" xfId="3" applyFont="1" applyFill="1" applyBorder="1" applyAlignment="1">
      <alignment vertical="center" wrapText="1"/>
    </xf>
    <xf numFmtId="0" fontId="3" fillId="2" borderId="11" xfId="3" applyFont="1" applyFill="1" applyBorder="1" applyAlignment="1">
      <alignment vertical="center" wrapText="1"/>
    </xf>
    <xf numFmtId="0" fontId="3" fillId="2" borderId="46" xfId="3" applyFont="1" applyFill="1" applyBorder="1" applyAlignment="1">
      <alignment vertical="center" wrapText="1"/>
    </xf>
    <xf numFmtId="0" fontId="3" fillId="2" borderId="12" xfId="3" applyFont="1" applyFill="1" applyBorder="1" applyAlignment="1">
      <alignment vertical="center" wrapText="1"/>
    </xf>
    <xf numFmtId="0" fontId="3" fillId="2" borderId="4" xfId="3" applyFont="1" applyFill="1" applyBorder="1" applyAlignment="1">
      <alignment vertical="center" wrapText="1"/>
    </xf>
    <xf numFmtId="0" fontId="7" fillId="2" borderId="5" xfId="3" applyFont="1" applyFill="1" applyBorder="1" applyAlignment="1">
      <alignment vertical="center" wrapText="1"/>
    </xf>
    <xf numFmtId="0" fontId="7" fillId="2" borderId="0" xfId="3" applyFont="1" applyFill="1">
      <alignment vertical="center"/>
    </xf>
    <xf numFmtId="0" fontId="7" fillId="2" borderId="8" xfId="3" applyFont="1" applyFill="1" applyBorder="1">
      <alignment vertical="center"/>
    </xf>
    <xf numFmtId="0" fontId="7" fillId="2" borderId="46" xfId="3" applyFont="1" applyFill="1" applyBorder="1">
      <alignment vertical="center"/>
    </xf>
    <xf numFmtId="0" fontId="7" fillId="2" borderId="12" xfId="3" applyFont="1" applyFill="1" applyBorder="1">
      <alignment vertical="center"/>
    </xf>
    <xf numFmtId="0" fontId="7" fillId="2" borderId="4" xfId="3" applyFont="1" applyFill="1" applyBorder="1">
      <alignment vertical="center"/>
    </xf>
    <xf numFmtId="0" fontId="5" fillId="2" borderId="14" xfId="0" applyFont="1" applyFill="1" applyBorder="1" applyAlignment="1">
      <alignment horizontal="center" vertical="center" textRotation="255"/>
    </xf>
    <xf numFmtId="0" fontId="0" fillId="2" borderId="29" xfId="0" applyFill="1" applyBorder="1">
      <alignment vertical="center"/>
    </xf>
    <xf numFmtId="0" fontId="5" fillId="2" borderId="5" xfId="0" applyFont="1" applyFill="1" applyBorder="1" applyAlignment="1">
      <alignment horizontal="center" vertical="center" textRotation="255"/>
    </xf>
    <xf numFmtId="0" fontId="0" fillId="2" borderId="23" xfId="0" applyFill="1" applyBorder="1">
      <alignment vertical="center"/>
    </xf>
    <xf numFmtId="0" fontId="0" fillId="2" borderId="5" xfId="0" applyFill="1" applyBorder="1">
      <alignment vertical="center"/>
    </xf>
    <xf numFmtId="0" fontId="0" fillId="2" borderId="51" xfId="0" applyFill="1" applyBorder="1">
      <alignment vertical="center"/>
    </xf>
    <xf numFmtId="0" fontId="7" fillId="2" borderId="0" xfId="0" applyFont="1" applyFill="1" applyAlignment="1">
      <alignment vertical="center" wrapText="1"/>
    </xf>
    <xf numFmtId="0" fontId="7" fillId="2" borderId="0" xfId="0" applyFont="1" applyFill="1">
      <alignment vertical="center"/>
    </xf>
    <xf numFmtId="0" fontId="7" fillId="2" borderId="8" xfId="0" applyFont="1" applyFill="1" applyBorder="1">
      <alignment vertical="center"/>
    </xf>
    <xf numFmtId="0" fontId="5" fillId="3" borderId="21"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5" fillId="3" borderId="1" xfId="0" applyFont="1" applyFill="1" applyBorder="1" applyAlignment="1" applyProtection="1">
      <alignment horizontal="left" vertical="center"/>
      <protection locked="0"/>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27" fillId="3" borderId="21" xfId="0" applyFont="1" applyFill="1" applyBorder="1" applyProtection="1">
      <alignment vertical="center"/>
      <protection locked="0"/>
    </xf>
    <xf numFmtId="0" fontId="27" fillId="3" borderId="6" xfId="0" applyFont="1" applyFill="1" applyBorder="1" applyProtection="1">
      <alignment vertical="center"/>
      <protection locked="0"/>
    </xf>
    <xf numFmtId="0" fontId="27" fillId="3" borderId="1" xfId="0" applyFont="1" applyFill="1" applyBorder="1" applyProtection="1">
      <alignment vertical="center"/>
      <protection locked="0"/>
    </xf>
    <xf numFmtId="0" fontId="0" fillId="2" borderId="12" xfId="0" applyFill="1" applyBorder="1">
      <alignment vertical="center"/>
    </xf>
    <xf numFmtId="0" fontId="3" fillId="2" borderId="32" xfId="0" applyFont="1" applyFill="1" applyBorder="1" applyAlignment="1">
      <alignment horizontal="left" vertical="center" shrinkToFit="1"/>
    </xf>
    <xf numFmtId="0" fontId="3" fillId="2" borderId="10" xfId="0" applyFont="1" applyFill="1" applyBorder="1" applyAlignment="1">
      <alignment horizontal="left" vertical="center" shrinkToFit="1"/>
    </xf>
    <xf numFmtId="0" fontId="3" fillId="2" borderId="11" xfId="0" applyFont="1" applyFill="1" applyBorder="1" applyAlignment="1">
      <alignment horizontal="left" vertical="center" shrinkToFit="1"/>
    </xf>
    <xf numFmtId="0" fontId="3" fillId="2" borderId="46" xfId="0" applyFont="1" applyFill="1" applyBorder="1" applyAlignment="1">
      <alignment horizontal="left" vertical="center" shrinkToFit="1"/>
    </xf>
    <xf numFmtId="0" fontId="3" fillId="2" borderId="12"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5" fillId="3" borderId="19" xfId="0" applyFont="1" applyFill="1" applyBorder="1" applyAlignment="1" applyProtection="1">
      <alignment horizontal="left" vertical="center"/>
      <protection locked="0"/>
    </xf>
    <xf numFmtId="0" fontId="5" fillId="2" borderId="22" xfId="0" applyFont="1" applyFill="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5" fillId="3" borderId="6"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49" fontId="5" fillId="3" borderId="21" xfId="0" applyNumberFormat="1" applyFont="1" applyFill="1" applyBorder="1" applyAlignment="1" applyProtection="1">
      <alignment horizontal="left" vertical="center"/>
      <protection locked="0"/>
    </xf>
    <xf numFmtId="49" fontId="5" fillId="3" borderId="6" xfId="0" applyNumberFormat="1" applyFont="1" applyFill="1" applyBorder="1" applyAlignment="1" applyProtection="1">
      <alignment horizontal="left" vertical="center"/>
      <protection locked="0"/>
    </xf>
    <xf numFmtId="49" fontId="5" fillId="3" borderId="1" xfId="0" applyNumberFormat="1" applyFont="1" applyFill="1" applyBorder="1" applyAlignment="1" applyProtection="1">
      <alignment horizontal="left" vertical="center"/>
      <protection locked="0"/>
    </xf>
    <xf numFmtId="0" fontId="3" fillId="2" borderId="5" xfId="0" applyFont="1" applyFill="1" applyBorder="1" applyAlignment="1">
      <alignment horizontal="left" vertical="center"/>
    </xf>
    <xf numFmtId="0" fontId="3" fillId="2" borderId="0" xfId="0" applyFont="1" applyFill="1" applyAlignment="1">
      <alignment horizontal="left" vertical="center"/>
    </xf>
    <xf numFmtId="0" fontId="3" fillId="2" borderId="8" xfId="0" applyFont="1" applyFill="1" applyBorder="1" applyAlignment="1">
      <alignment horizontal="left" vertical="center"/>
    </xf>
    <xf numFmtId="0" fontId="5" fillId="2" borderId="9" xfId="0" applyFont="1" applyFill="1" applyBorder="1" applyAlignment="1">
      <alignment horizontal="center" vertical="center" textRotation="255"/>
    </xf>
    <xf numFmtId="0" fontId="5" fillId="2" borderId="0" xfId="0" applyFont="1" applyFill="1" applyAlignment="1">
      <alignment horizontal="center" vertical="center" textRotation="255"/>
    </xf>
    <xf numFmtId="0" fontId="0" fillId="2" borderId="19" xfId="0" applyFill="1" applyBorder="1" applyAlignment="1">
      <alignment horizontal="center" vertical="center"/>
    </xf>
    <xf numFmtId="0" fontId="5" fillId="3" borderId="21" xfId="0" applyFont="1" applyFill="1" applyBorder="1" applyAlignment="1" applyProtection="1">
      <alignment vertical="center" wrapText="1"/>
      <protection locked="0"/>
    </xf>
    <xf numFmtId="0" fontId="5" fillId="3" borderId="6" xfId="0" applyFont="1" applyFill="1" applyBorder="1" applyAlignment="1" applyProtection="1">
      <alignment vertical="center" wrapText="1"/>
      <protection locked="0"/>
    </xf>
    <xf numFmtId="0" fontId="5" fillId="3" borderId="19" xfId="0" applyFont="1" applyFill="1" applyBorder="1" applyAlignment="1" applyProtection="1">
      <alignment vertical="center" wrapText="1"/>
      <protection locked="0"/>
    </xf>
    <xf numFmtId="0" fontId="1" fillId="2" borderId="5" xfId="2" applyFill="1" applyBorder="1" applyAlignment="1">
      <alignment horizontal="center" vertical="center"/>
    </xf>
    <xf numFmtId="0" fontId="7" fillId="2" borderId="34" xfId="2" applyFont="1" applyFill="1" applyBorder="1" applyAlignment="1">
      <alignment vertical="top" wrapText="1" shrinkToFit="1"/>
    </xf>
    <xf numFmtId="178" fontId="26" fillId="2" borderId="0" xfId="2" applyNumberFormat="1" applyFont="1" applyFill="1" applyAlignment="1">
      <alignment vertical="center" wrapText="1"/>
    </xf>
    <xf numFmtId="0" fontId="31" fillId="2" borderId="5" xfId="2" applyFont="1" applyFill="1" applyBorder="1" applyAlignment="1">
      <alignment horizontal="center" vertical="center"/>
    </xf>
    <xf numFmtId="178" fontId="7" fillId="3" borderId="12" xfId="2" applyNumberFormat="1" applyFont="1" applyFill="1" applyBorder="1" applyAlignment="1" applyProtection="1">
      <alignment horizontal="left" shrinkToFit="1"/>
      <protection locked="0"/>
    </xf>
    <xf numFmtId="178" fontId="7" fillId="3" borderId="12" xfId="2" applyNumberFormat="1" applyFont="1" applyFill="1" applyBorder="1" applyAlignment="1" applyProtection="1">
      <alignment horizontal="left"/>
      <protection locked="0"/>
    </xf>
    <xf numFmtId="0" fontId="7" fillId="2" borderId="40" xfId="2" applyFont="1" applyFill="1" applyBorder="1" applyAlignment="1">
      <alignment vertical="top" wrapText="1" shrinkToFit="1"/>
    </xf>
    <xf numFmtId="0" fontId="0" fillId="0" borderId="0" xfId="2" applyFont="1" applyAlignment="1">
      <alignment shrinkToFit="1"/>
    </xf>
    <xf numFmtId="0" fontId="0" fillId="0" borderId="0" xfId="0" applyAlignment="1"/>
    <xf numFmtId="178" fontId="7" fillId="3" borderId="13" xfId="2" applyNumberFormat="1" applyFont="1" applyFill="1" applyBorder="1" applyAlignment="1" applyProtection="1">
      <alignment horizontal="left" shrinkToFit="1"/>
      <protection locked="0"/>
    </xf>
    <xf numFmtId="0" fontId="15" fillId="2" borderId="40" xfId="2" applyFont="1" applyFill="1" applyBorder="1" applyAlignment="1">
      <alignment vertical="top" wrapText="1" shrinkToFit="1"/>
    </xf>
    <xf numFmtId="0" fontId="15" fillId="2" borderId="34" xfId="2" applyFont="1" applyFill="1" applyBorder="1" applyAlignment="1">
      <alignment vertical="top" wrapText="1" shrinkToFit="1"/>
    </xf>
    <xf numFmtId="0" fontId="7" fillId="2" borderId="40" xfId="2" applyFont="1" applyFill="1" applyBorder="1" applyAlignment="1">
      <alignment horizontal="left" vertical="top" wrapText="1" shrinkToFit="1"/>
    </xf>
    <xf numFmtId="0" fontId="7" fillId="2" borderId="34" xfId="2" applyFont="1" applyFill="1" applyBorder="1" applyAlignment="1">
      <alignment horizontal="left" vertical="top" wrapText="1" shrinkToFit="1"/>
    </xf>
    <xf numFmtId="49" fontId="7" fillId="3" borderId="12" xfId="2" applyNumberFormat="1" applyFont="1" applyFill="1" applyBorder="1" applyAlignment="1" applyProtection="1">
      <alignment horizontal="left" shrinkToFit="1"/>
      <protection locked="0"/>
    </xf>
    <xf numFmtId="49" fontId="7" fillId="3" borderId="13" xfId="2" applyNumberFormat="1" applyFont="1" applyFill="1" applyBorder="1" applyAlignment="1" applyProtection="1">
      <alignment horizontal="left" shrinkToFit="1"/>
      <protection locked="0"/>
    </xf>
    <xf numFmtId="0" fontId="3" fillId="2" borderId="32" xfId="3" applyFont="1" applyFill="1" applyBorder="1" applyAlignment="1">
      <alignment horizontal="left" vertical="center"/>
    </xf>
    <xf numFmtId="0" fontId="1" fillId="2" borderId="10" xfId="3" applyFill="1" applyBorder="1" applyAlignment="1">
      <alignment horizontal="left" vertical="center"/>
    </xf>
    <xf numFmtId="0" fontId="1" fillId="2" borderId="46" xfId="3" applyFill="1" applyBorder="1" applyAlignment="1">
      <alignment horizontal="left" vertical="center"/>
    </xf>
    <xf numFmtId="0" fontId="1" fillId="2" borderId="12" xfId="3" applyFill="1" applyBorder="1" applyAlignment="1">
      <alignment horizontal="left" vertical="center"/>
    </xf>
    <xf numFmtId="49" fontId="5" fillId="2" borderId="39" xfId="3" applyNumberFormat="1" applyFont="1" applyFill="1" applyBorder="1" applyAlignment="1">
      <alignment horizontal="left" vertical="center" shrinkToFit="1"/>
    </xf>
    <xf numFmtId="49" fontId="5" fillId="2" borderId="41" xfId="3" applyNumberFormat="1" applyFont="1" applyFill="1" applyBorder="1" applyAlignment="1">
      <alignment horizontal="left" vertical="center" shrinkToFit="1"/>
    </xf>
    <xf numFmtId="49" fontId="1" fillId="2" borderId="42" xfId="3" applyNumberFormat="1" applyFill="1" applyBorder="1" applyAlignment="1">
      <alignment horizontal="left" vertical="center" shrinkToFit="1"/>
    </xf>
    <xf numFmtId="179" fontId="35" fillId="3" borderId="27" xfId="3" applyNumberFormat="1" applyFont="1" applyFill="1" applyBorder="1" applyAlignment="1" applyProtection="1">
      <alignment horizontal="center" vertical="center" wrapText="1" shrinkToFit="1"/>
      <protection locked="0"/>
    </xf>
    <xf numFmtId="179" fontId="35" fillId="3" borderId="9" xfId="3" applyNumberFormat="1" applyFont="1" applyFill="1" applyBorder="1" applyAlignment="1" applyProtection="1">
      <alignment horizontal="center" vertical="center" wrapText="1" shrinkToFit="1"/>
      <protection locked="0"/>
    </xf>
    <xf numFmtId="179" fontId="35" fillId="3" borderId="29" xfId="3" applyNumberFormat="1" applyFont="1" applyFill="1" applyBorder="1" applyAlignment="1" applyProtection="1">
      <alignment horizontal="center" vertical="center" wrapText="1" shrinkToFit="1"/>
      <protection locked="0"/>
    </xf>
    <xf numFmtId="0" fontId="5" fillId="2" borderId="27" xfId="3"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29" xfId="3" applyFont="1" applyFill="1" applyBorder="1" applyAlignment="1">
      <alignment horizontal="center" vertical="center" wrapText="1"/>
    </xf>
    <xf numFmtId="0" fontId="0" fillId="2" borderId="27" xfId="3" applyFont="1" applyFill="1" applyBorder="1" applyAlignment="1">
      <alignment vertical="center" wrapText="1" shrinkToFit="1"/>
    </xf>
    <xf numFmtId="0" fontId="0" fillId="2" borderId="9" xfId="3" applyFont="1" applyFill="1" applyBorder="1" applyAlignment="1">
      <alignment vertical="center" wrapText="1" shrinkToFit="1"/>
    </xf>
    <xf numFmtId="0" fontId="0" fillId="2" borderId="15" xfId="3" applyFont="1" applyFill="1" applyBorder="1" applyAlignment="1">
      <alignment vertical="center" wrapText="1" shrinkToFit="1"/>
    </xf>
    <xf numFmtId="0" fontId="0" fillId="2" borderId="28" xfId="3" applyFont="1" applyFill="1" applyBorder="1" applyAlignment="1">
      <alignment vertical="center" wrapText="1" shrinkToFit="1"/>
    </xf>
    <xf numFmtId="0" fontId="0" fillId="2" borderId="12" xfId="3" applyFont="1" applyFill="1" applyBorder="1" applyAlignment="1">
      <alignment vertical="center" wrapText="1" shrinkToFit="1"/>
    </xf>
    <xf numFmtId="0" fontId="0" fillId="2" borderId="4" xfId="3" applyFont="1" applyFill="1" applyBorder="1" applyAlignment="1">
      <alignment vertical="center" wrapText="1" shrinkToFit="1"/>
    </xf>
    <xf numFmtId="0" fontId="5" fillId="2" borderId="22" xfId="3" applyFont="1" applyFill="1" applyBorder="1" applyAlignment="1">
      <alignment vertical="top" wrapText="1" shrinkToFit="1"/>
    </xf>
    <xf numFmtId="0" fontId="5" fillId="2" borderId="0" xfId="3" applyFont="1" applyFill="1" applyAlignment="1">
      <alignment vertical="top" wrapText="1" shrinkToFit="1"/>
    </xf>
    <xf numFmtId="0" fontId="5" fillId="2" borderId="51" xfId="3" applyFont="1" applyFill="1" applyBorder="1" applyAlignment="1">
      <alignment vertical="top" wrapText="1" shrinkToFit="1"/>
    </xf>
    <xf numFmtId="0" fontId="5" fillId="2" borderId="28" xfId="3" applyFont="1" applyFill="1" applyBorder="1" applyAlignment="1">
      <alignment vertical="top" wrapText="1" shrinkToFit="1"/>
    </xf>
    <xf numFmtId="0" fontId="5" fillId="2" borderId="12" xfId="3" applyFont="1" applyFill="1" applyBorder="1" applyAlignment="1">
      <alignment vertical="top" wrapText="1" shrinkToFit="1"/>
    </xf>
    <xf numFmtId="0" fontId="5" fillId="2" borderId="18" xfId="3" applyFont="1" applyFill="1" applyBorder="1" applyAlignment="1">
      <alignment vertical="top" wrapText="1" shrinkToFit="1"/>
    </xf>
    <xf numFmtId="0" fontId="5" fillId="2" borderId="28" xfId="3" applyFont="1" applyFill="1" applyBorder="1" applyAlignment="1">
      <alignment horizontal="center" vertical="center" wrapText="1"/>
    </xf>
    <xf numFmtId="0" fontId="5" fillId="2" borderId="12" xfId="3" applyFont="1" applyFill="1" applyBorder="1" applyAlignment="1">
      <alignment horizontal="center" vertical="center" wrapText="1"/>
    </xf>
    <xf numFmtId="0" fontId="5" fillId="2" borderId="18" xfId="3" applyFont="1" applyFill="1" applyBorder="1" applyAlignment="1">
      <alignment horizontal="center" vertical="center" wrapText="1"/>
    </xf>
    <xf numFmtId="0" fontId="7" fillId="3" borderId="21" xfId="3" applyFont="1" applyFill="1" applyBorder="1" applyAlignment="1" applyProtection="1">
      <alignment horizontal="left" vertical="center" wrapText="1"/>
      <protection locked="0"/>
    </xf>
    <xf numFmtId="0" fontId="7" fillId="3" borderId="6" xfId="3" applyFont="1" applyFill="1" applyBorder="1" applyAlignment="1" applyProtection="1">
      <alignment horizontal="left" vertical="center" wrapText="1"/>
      <protection locked="0"/>
    </xf>
    <xf numFmtId="0" fontId="7" fillId="3" borderId="1" xfId="3" applyFont="1" applyFill="1" applyBorder="1" applyAlignment="1" applyProtection="1">
      <alignment horizontal="left" vertical="center" wrapText="1"/>
      <protection locked="0"/>
    </xf>
    <xf numFmtId="0" fontId="1" fillId="2" borderId="9" xfId="3" applyFill="1" applyBorder="1" applyAlignment="1">
      <alignment vertical="center" shrinkToFit="1"/>
    </xf>
    <xf numFmtId="0" fontId="1" fillId="2" borderId="15" xfId="3" applyFill="1" applyBorder="1" applyAlignment="1">
      <alignment vertical="center" shrinkToFit="1"/>
    </xf>
    <xf numFmtId="0" fontId="1" fillId="2" borderId="28" xfId="3" applyFill="1" applyBorder="1" applyAlignment="1">
      <alignment vertical="center" shrinkToFit="1"/>
    </xf>
    <xf numFmtId="0" fontId="1" fillId="2" borderId="12" xfId="3" applyFill="1" applyBorder="1" applyAlignment="1">
      <alignment vertical="center" shrinkToFit="1"/>
    </xf>
    <xf numFmtId="0" fontId="1" fillId="2" borderId="4" xfId="3" applyFill="1" applyBorder="1" applyAlignment="1">
      <alignment vertical="center" shrinkToFit="1"/>
    </xf>
    <xf numFmtId="49" fontId="1" fillId="2" borderId="41" xfId="3" applyNumberFormat="1" applyFill="1" applyBorder="1" applyAlignment="1">
      <alignment horizontal="left" vertical="center" shrinkToFit="1"/>
    </xf>
    <xf numFmtId="0" fontId="1" fillId="2" borderId="66" xfId="3" applyFill="1" applyBorder="1" applyAlignment="1">
      <alignment horizontal="left" vertical="center" shrinkToFit="1"/>
    </xf>
    <xf numFmtId="0" fontId="1" fillId="2" borderId="67" xfId="3" applyFill="1" applyBorder="1" applyAlignment="1">
      <alignment horizontal="left" vertical="center" shrinkToFit="1"/>
    </xf>
    <xf numFmtId="0" fontId="1" fillId="2" borderId="68" xfId="3" applyFill="1" applyBorder="1" applyAlignment="1">
      <alignment horizontal="left" vertical="center" shrinkToFit="1"/>
    </xf>
    <xf numFmtId="0" fontId="1" fillId="2" borderId="69" xfId="3" applyFill="1" applyBorder="1" applyAlignment="1">
      <alignment horizontal="left" vertical="center"/>
    </xf>
    <xf numFmtId="0" fontId="1" fillId="2" borderId="70" xfId="3" applyFill="1" applyBorder="1" applyAlignment="1">
      <alignment horizontal="left" vertical="center"/>
    </xf>
    <xf numFmtId="0" fontId="1" fillId="2" borderId="71" xfId="3" applyFill="1" applyBorder="1" applyAlignment="1">
      <alignment horizontal="left" vertical="center"/>
    </xf>
    <xf numFmtId="0" fontId="5" fillId="2" borderId="28" xfId="3" applyFont="1" applyFill="1" applyBorder="1" applyAlignment="1">
      <alignment horizontal="left" vertical="top" wrapText="1" shrinkToFit="1"/>
    </xf>
    <xf numFmtId="0" fontId="5" fillId="2" borderId="12" xfId="3" applyFont="1" applyFill="1" applyBorder="1" applyAlignment="1">
      <alignment horizontal="left" vertical="top" wrapText="1" shrinkToFit="1"/>
    </xf>
    <xf numFmtId="0" fontId="5" fillId="2" borderId="18" xfId="3" applyFont="1" applyFill="1" applyBorder="1" applyAlignment="1">
      <alignment horizontal="left" vertical="top" wrapText="1" shrinkToFit="1"/>
    </xf>
    <xf numFmtId="49" fontId="1" fillId="2" borderId="43" xfId="3" applyNumberFormat="1" applyFill="1" applyBorder="1" applyAlignment="1">
      <alignment horizontal="left" vertical="center" shrinkToFit="1"/>
    </xf>
    <xf numFmtId="0" fontId="1" fillId="2" borderId="81" xfId="3" applyFill="1" applyBorder="1" applyAlignment="1">
      <alignment horizontal="left" vertical="center"/>
    </xf>
    <xf numFmtId="0" fontId="1" fillId="2" borderId="82" xfId="3" applyFill="1" applyBorder="1" applyAlignment="1">
      <alignment horizontal="left" vertical="center"/>
    </xf>
    <xf numFmtId="0" fontId="1" fillId="2" borderId="83" xfId="3" applyFill="1" applyBorder="1" applyAlignment="1">
      <alignment horizontal="left" vertical="center"/>
    </xf>
    <xf numFmtId="0" fontId="5" fillId="2" borderId="24" xfId="3" applyFont="1" applyFill="1" applyBorder="1" applyAlignment="1">
      <alignment horizontal="left" vertical="top" wrapText="1" shrinkToFit="1"/>
    </xf>
    <xf numFmtId="0" fontId="5" fillId="2" borderId="13" xfId="3" applyFont="1" applyFill="1" applyBorder="1" applyAlignment="1">
      <alignment horizontal="left" vertical="top" wrapText="1" shrinkToFit="1"/>
    </xf>
    <xf numFmtId="0" fontId="5" fillId="2" borderId="25" xfId="3" applyFont="1" applyFill="1" applyBorder="1" applyAlignment="1">
      <alignment horizontal="left" vertical="top" wrapText="1" shrinkToFit="1"/>
    </xf>
    <xf numFmtId="0" fontId="5" fillId="2" borderId="24" xfId="3" applyFont="1" applyFill="1" applyBorder="1" applyAlignment="1">
      <alignment horizontal="center" vertical="center" wrapText="1"/>
    </xf>
    <xf numFmtId="0" fontId="5" fillId="2" borderId="13" xfId="3" applyFont="1" applyFill="1" applyBorder="1" applyAlignment="1">
      <alignment horizontal="center" vertical="center" wrapText="1"/>
    </xf>
    <xf numFmtId="0" fontId="5" fillId="2" borderId="25" xfId="3" applyFont="1" applyFill="1" applyBorder="1" applyAlignment="1">
      <alignment horizontal="center" vertical="center" wrapText="1"/>
    </xf>
  </cellXfs>
  <cellStyles count="4">
    <cellStyle name="桁区切り" xfId="1" builtinId="6"/>
    <cellStyle name="標準" xfId="0" builtinId="0"/>
    <cellStyle name="標準 2" xfId="3" xr:uid="{00000000-0005-0000-0000-000002000000}"/>
    <cellStyle name="標準_分類品目表(kai) 2" xfId="2" xr:uid="{00000000-0005-0000-0000-000004000000}"/>
  </cellStyles>
  <dxfs count="221">
    <dxf>
      <font>
        <b/>
        <i val="0"/>
        <condense val="0"/>
        <extend val="0"/>
      </font>
    </dxf>
    <dxf>
      <font>
        <b val="0"/>
        <i val="0"/>
        <strike/>
        <condense val="0"/>
        <extend val="0"/>
      </font>
    </dxf>
    <dxf>
      <font>
        <b/>
        <i val="0"/>
        <condense val="0"/>
        <extend val="0"/>
      </font>
    </dxf>
    <dxf>
      <font>
        <b val="0"/>
        <i val="0"/>
        <strike/>
        <condense val="0"/>
        <extend val="0"/>
      </font>
    </dxf>
    <dxf>
      <fill>
        <patternFill>
          <bgColor indexed="9"/>
        </patternFill>
      </fill>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b/>
        <i val="0"/>
        <condense val="0"/>
        <extend val="0"/>
      </font>
    </dxf>
    <dxf>
      <font>
        <b val="0"/>
        <i val="0"/>
        <strike/>
        <condense val="0"/>
        <extend val="0"/>
      </font>
    </dxf>
    <dxf>
      <font>
        <b/>
        <i val="0"/>
        <condense val="0"/>
        <extend val="0"/>
      </font>
    </dxf>
    <dxf>
      <font>
        <b val="0"/>
        <i val="0"/>
        <strike/>
        <condense val="0"/>
        <extend val="0"/>
      </font>
    </dxf>
    <dxf>
      <font>
        <b/>
        <i val="0"/>
        <condense val="0"/>
        <extend val="0"/>
      </font>
    </dxf>
    <dxf>
      <font>
        <b val="0"/>
        <i val="0"/>
        <strike/>
        <condense val="0"/>
        <extend val="0"/>
      </font>
    </dxf>
    <dxf>
      <fill>
        <patternFill>
          <bgColor indexed="9"/>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ill>
        <patternFill>
          <bgColor theme="0"/>
        </patternFill>
      </fill>
    </dxf>
    <dxf>
      <fill>
        <patternFill>
          <bgColor theme="0"/>
        </patternFill>
      </fill>
    </dxf>
    <dxf>
      <fill>
        <patternFill>
          <bgColor theme="0"/>
        </patternFill>
      </fill>
    </dxf>
    <dxf>
      <font>
        <strike/>
        <condense val="0"/>
        <extend val="0"/>
      </font>
    </dxf>
    <dxf>
      <font>
        <b/>
        <i val="0"/>
        <condense val="0"/>
        <extend val="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indexed="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ndense val="0"/>
        <extend val="0"/>
      </font>
    </dxf>
    <dxf>
      <font>
        <strike/>
        <condense val="0"/>
        <extend val="0"/>
      </font>
    </dxf>
    <dxf>
      <font>
        <strike/>
        <condense val="0"/>
        <extend val="0"/>
      </font>
    </dxf>
    <dxf>
      <font>
        <strike/>
        <condense val="0"/>
        <extend val="0"/>
      </font>
    </dxf>
    <dxf>
      <fill>
        <patternFill>
          <bgColor indexed="10"/>
        </patternFill>
      </fill>
    </dxf>
    <dxf>
      <fill>
        <patternFill>
          <bgColor theme="0"/>
        </patternFill>
      </fill>
    </dxf>
    <dxf>
      <fill>
        <patternFill>
          <bgColor indexed="9"/>
        </patternFill>
      </fill>
    </dxf>
    <dxf>
      <fill>
        <patternFill>
          <bgColor theme="0"/>
        </patternFill>
      </fill>
    </dxf>
    <dxf>
      <fill>
        <patternFill>
          <bgColor theme="0"/>
        </patternFill>
      </fill>
    </dxf>
    <dxf>
      <fill>
        <patternFill>
          <bgColor theme="0"/>
        </patternFill>
      </fill>
    </dxf>
    <dxf>
      <font>
        <b/>
        <i val="0"/>
        <condense val="0"/>
        <extend val="0"/>
      </font>
    </dxf>
    <dxf>
      <font>
        <b val="0"/>
        <i val="0"/>
        <strike/>
        <condense val="0"/>
        <extend val="0"/>
      </font>
    </dxf>
    <dxf>
      <fill>
        <patternFill>
          <bgColor indexed="10"/>
        </patternFill>
      </fill>
    </dxf>
    <dxf>
      <fill>
        <patternFill>
          <bgColor theme="0"/>
        </patternFill>
      </fill>
    </dxf>
    <dxf>
      <fill>
        <patternFill>
          <bgColor theme="0"/>
        </patternFill>
      </fill>
    </dxf>
    <dxf>
      <fill>
        <patternFill>
          <bgColor theme="0"/>
        </patternFill>
      </fill>
    </dxf>
    <dxf>
      <font>
        <condense val="0"/>
        <extend val="0"/>
        <color indexed="10"/>
      </font>
      <fill>
        <patternFill patternType="none">
          <bgColor indexed="65"/>
        </patternFill>
      </fill>
    </dxf>
    <dxf>
      <fill>
        <patternFill>
          <bgColor indexed="9"/>
        </patternFill>
      </fill>
    </dxf>
    <dxf>
      <fill>
        <patternFill>
          <bgColor theme="0"/>
        </patternFill>
      </fill>
    </dxf>
    <dxf>
      <fill>
        <patternFill>
          <bgColor theme="0"/>
        </patternFill>
      </fill>
    </dxf>
    <dxf>
      <font>
        <b/>
        <i val="0"/>
        <condense val="0"/>
        <extend val="0"/>
      </font>
    </dxf>
    <dxf>
      <font>
        <b val="0"/>
        <i val="0"/>
        <strike/>
        <condense val="0"/>
        <extend val="0"/>
      </font>
    </dxf>
    <dxf>
      <font>
        <b/>
        <i val="0"/>
        <condense val="0"/>
        <extend val="0"/>
      </font>
    </dxf>
    <dxf>
      <font>
        <b val="0"/>
        <i val="0"/>
        <strike/>
        <condense val="0"/>
        <extend val="0"/>
      </font>
    </dxf>
    <dxf>
      <font>
        <b/>
        <i val="0"/>
        <condense val="0"/>
        <extend val="0"/>
      </font>
    </dxf>
    <dxf>
      <font>
        <b val="0"/>
        <i val="0"/>
        <strike/>
        <condense val="0"/>
        <extend val="0"/>
      </font>
    </dxf>
    <dxf>
      <font>
        <b/>
        <i val="0"/>
        <condense val="0"/>
        <extend val="0"/>
      </font>
    </dxf>
    <dxf>
      <font>
        <b val="0"/>
        <i val="0"/>
        <strike/>
        <condense val="0"/>
        <extend val="0"/>
      </font>
    </dxf>
    <dxf>
      <font>
        <condense val="0"/>
        <extend val="0"/>
        <color auto="1"/>
      </font>
      <fill>
        <patternFill>
          <bgColor indexed="9"/>
        </patternFill>
      </fill>
    </dxf>
    <dxf>
      <fill>
        <patternFill>
          <bgColor indexed="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colors>
    <mruColors>
      <color rgb="FFFFFF99"/>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0030&#20250;&#35336;&#26908;&#26619;&#35506;\&#20196;&#21644;04&#24180;&#24230;\&#29289;&#21697;&#22865;&#32004;&#20418;\C&#12288;&#20837;&#26413;&#21442;&#21152;&#36039;&#26684;\a&#12288;&#20837;&#26413;&#21442;&#21152;&#36039;&#26684;&#32773;&#21517;&#31807;\&#9733;&#38651;&#23376;&#30003;&#35531;&#12471;&#12473;&#12486;&#12512;\RPA&#26908;&#35342;\&#12304;&#29289;&#21697;&#12305;&#20837;&#26413;&#21442;&#21152;&#30003;&#35531;&#26360;&#65288;RPA&#29992;&#65289;&#26412;&#30058;&#29872;&#22659;%20&#25968;&#24335;&#20462;&#27491;&#20013;&#6528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0030&#20250;&#35336;&#26908;&#26619;&#35506;\&#20196;&#21644;04&#24180;&#24230;\&#29289;&#21697;&#22865;&#32004;&#20418;\C&#12288;&#20837;&#26413;&#21442;&#21152;&#36039;&#26684;\a&#12288;&#20837;&#26413;&#21442;&#21152;&#36039;&#26684;&#32773;&#21517;&#31807;\&#9733;&#38651;&#23376;&#30003;&#35531;&#12471;&#12473;&#12486;&#12512;\RPA&#26908;&#35342;\&#12304;&#29289;&#21697;&#12305;&#20837;&#26413;&#21442;&#21152;&#30003;&#35531;&#26360;&#65288;&#29694;&#348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１号様式"/>
      <sheetName val="第１号様式　別紙１"/>
      <sheetName val="第１号様式  別紙２"/>
      <sheetName val="第１号様式 別紙３"/>
      <sheetName val="第１号様式　別紙５"/>
      <sheetName val="第１号様式　別紙６"/>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等一覧"/>
      <sheetName val="第１号様式"/>
      <sheetName val="第１号様式　別紙１"/>
      <sheetName val="第１号様式  別紙２"/>
      <sheetName val="第１号様式 別紙３"/>
      <sheetName val="第１号様式　別紙４"/>
      <sheetName val="第１号様式　別紙５"/>
      <sheetName val="第１号様式　別紙６"/>
      <sheetName val="第１号様式　別紙７"/>
      <sheetName val="第１号様式　別紙８"/>
      <sheetName val="第１号様式　別紙９"/>
      <sheetName val="FAX連絡用紙"/>
      <sheetName val="第２号様式"/>
      <sheetName val="第３号様式"/>
    </sheetNames>
    <sheetDataSet>
      <sheetData sheetId="0"/>
      <sheetData sheetId="1">
        <row r="30">
          <cell r="H30"/>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90"/>
  <sheetViews>
    <sheetView showGridLines="0" showZeros="0" tabSelected="1" view="pageBreakPreview" topLeftCell="A13" zoomScaleNormal="100" zoomScaleSheetLayoutView="100" workbookViewId="0">
      <selection activeCell="A14" sqref="A14"/>
    </sheetView>
  </sheetViews>
  <sheetFormatPr defaultColWidth="2.875" defaultRowHeight="13.5"/>
  <cols>
    <col min="1" max="3" width="2.875" style="2" customWidth="1"/>
    <col min="4" max="4" width="5.125" style="2" customWidth="1"/>
    <col min="5" max="28" width="2.875" style="2" customWidth="1"/>
    <col min="29" max="29" width="2.5" style="2" customWidth="1"/>
    <col min="30" max="30" width="1.75" style="2" customWidth="1"/>
    <col min="31" max="31" width="8.875" style="140" customWidth="1"/>
    <col min="32" max="32" width="2.375" style="2" customWidth="1"/>
    <col min="33" max="33" width="5.125" style="2" customWidth="1"/>
    <col min="34" max="34" width="9.125" style="26" hidden="1" customWidth="1"/>
    <col min="35" max="35" width="19.375" style="2" hidden="1" customWidth="1"/>
    <col min="36" max="36" width="7.25" style="2" hidden="1" customWidth="1"/>
    <col min="37" max="37" width="35" style="2" hidden="1" customWidth="1"/>
    <col min="38" max="38" width="4" style="2" hidden="1" customWidth="1"/>
    <col min="39" max="39" width="2.5" style="2" hidden="1" customWidth="1"/>
    <col min="40" max="40" width="4.25" style="2" customWidth="1"/>
    <col min="41" max="61" width="8.875" style="2" customWidth="1"/>
    <col min="62" max="16384" width="2.875" style="2"/>
  </cols>
  <sheetData>
    <row r="1" spans="1:35" ht="9" customHeight="1">
      <c r="A1" s="336" t="s">
        <v>170</v>
      </c>
      <c r="B1" s="336"/>
      <c r="C1" s="336"/>
      <c r="D1" s="336"/>
      <c r="M1"/>
      <c r="N1"/>
      <c r="O1"/>
      <c r="P1"/>
      <c r="Q1"/>
      <c r="R1"/>
      <c r="S1"/>
      <c r="T1"/>
      <c r="U1"/>
      <c r="V1"/>
      <c r="W1"/>
      <c r="X1"/>
      <c r="Y1"/>
      <c r="Z1"/>
      <c r="AA1"/>
      <c r="AB1"/>
      <c r="AC1"/>
      <c r="AE1" s="139"/>
      <c r="AH1" s="26" t="s">
        <v>553</v>
      </c>
    </row>
    <row r="2" spans="1:35" ht="9" customHeight="1">
      <c r="A2" s="336"/>
      <c r="B2" s="336"/>
      <c r="C2" s="336"/>
      <c r="D2" s="336"/>
      <c r="M2"/>
      <c r="N2"/>
      <c r="O2"/>
      <c r="P2"/>
      <c r="Q2"/>
      <c r="R2"/>
      <c r="S2"/>
      <c r="T2"/>
      <c r="U2"/>
      <c r="V2"/>
      <c r="W2"/>
      <c r="X2"/>
      <c r="Y2"/>
      <c r="Z2"/>
      <c r="AA2"/>
      <c r="AB2"/>
      <c r="AC2"/>
      <c r="AH2" s="26" t="s">
        <v>554</v>
      </c>
    </row>
    <row r="3" spans="1:35" ht="11.25" customHeight="1">
      <c r="B3"/>
      <c r="C3"/>
      <c r="D3"/>
      <c r="E3"/>
      <c r="F3"/>
      <c r="G3"/>
      <c r="M3"/>
      <c r="N3"/>
      <c r="O3"/>
      <c r="P3"/>
      <c r="Q3"/>
      <c r="R3"/>
      <c r="S3"/>
      <c r="T3"/>
      <c r="U3"/>
      <c r="V3"/>
      <c r="W3"/>
      <c r="X3"/>
      <c r="Y3"/>
      <c r="Z3"/>
      <c r="AA3"/>
      <c r="AB3"/>
      <c r="AC3"/>
      <c r="AD3" s="3"/>
      <c r="AH3" s="2" t="s">
        <v>158</v>
      </c>
      <c r="AI3" s="2" t="s">
        <v>157</v>
      </c>
    </row>
    <row r="4" spans="1:35" ht="11.25" customHeight="1">
      <c r="A4" s="1"/>
      <c r="B4"/>
      <c r="C4"/>
      <c r="D4"/>
      <c r="E4"/>
      <c r="F4"/>
      <c r="G4"/>
      <c r="AD4" s="3"/>
      <c r="AH4" s="26" t="s">
        <v>100</v>
      </c>
      <c r="AI4" s="2" t="s">
        <v>99</v>
      </c>
    </row>
    <row r="5" spans="1:35" ht="13.5" customHeight="1">
      <c r="A5" s="357" t="s">
        <v>778</v>
      </c>
      <c r="B5" s="357"/>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H5" s="26" t="s">
        <v>102</v>
      </c>
      <c r="AI5" s="2" t="s">
        <v>101</v>
      </c>
    </row>
    <row r="6" spans="1:35" ht="13.5" customHeight="1" thickBot="1">
      <c r="A6" s="357"/>
      <c r="B6" s="357"/>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53"/>
      <c r="AE6" s="139" t="s">
        <v>613</v>
      </c>
      <c r="AH6" s="26" t="s">
        <v>104</v>
      </c>
      <c r="AI6" s="2" t="s">
        <v>103</v>
      </c>
    </row>
    <row r="7" spans="1:35" ht="18.95" customHeight="1" thickBot="1">
      <c r="A7" s="53"/>
      <c r="B7" s="53"/>
      <c r="C7" s="53"/>
      <c r="D7" s="53"/>
      <c r="E7" s="53"/>
      <c r="F7" s="53"/>
      <c r="G7" s="53"/>
      <c r="H7" s="53"/>
      <c r="I7" s="53"/>
      <c r="J7" s="53"/>
      <c r="K7" s="53"/>
      <c r="L7" s="53"/>
      <c r="M7" s="53"/>
      <c r="N7" s="53"/>
      <c r="O7" s="53"/>
      <c r="P7" s="53"/>
      <c r="Q7" s="53"/>
      <c r="R7" s="340" t="s">
        <v>556</v>
      </c>
      <c r="S7" s="341"/>
      <c r="T7" s="341"/>
      <c r="U7" s="341"/>
      <c r="V7" s="342" t="s">
        <v>588</v>
      </c>
      <c r="W7" s="343"/>
      <c r="X7" s="23"/>
      <c r="Y7" s="27" t="s">
        <v>589</v>
      </c>
      <c r="Z7" s="23"/>
      <c r="AA7" s="28" t="s">
        <v>590</v>
      </c>
      <c r="AB7" s="23"/>
      <c r="AC7" s="29" t="s">
        <v>591</v>
      </c>
      <c r="AD7" s="4"/>
      <c r="AE7" s="139" t="str">
        <f>IF(X7="","","R"&amp;TEXT((DATE(X7,Z7,AB7)),"yymmdd"))</f>
        <v/>
      </c>
      <c r="AH7" s="26" t="s">
        <v>106</v>
      </c>
      <c r="AI7" s="2" t="s">
        <v>105</v>
      </c>
    </row>
    <row r="8" spans="1:35">
      <c r="B8" s="4" t="s">
        <v>832</v>
      </c>
      <c r="C8" s="4"/>
      <c r="D8" s="4"/>
      <c r="E8" s="4"/>
      <c r="AH8" s="26" t="s">
        <v>108</v>
      </c>
      <c r="AI8" s="2" t="s">
        <v>107</v>
      </c>
    </row>
    <row r="9" spans="1:35" ht="7.5" customHeight="1">
      <c r="A9" s="1"/>
      <c r="AH9" s="26" t="s">
        <v>110</v>
      </c>
      <c r="AI9" s="2" t="s">
        <v>109</v>
      </c>
    </row>
    <row r="10" spans="1:35">
      <c r="A10" s="337" t="s">
        <v>833</v>
      </c>
      <c r="B10" s="338"/>
      <c r="C10" s="338"/>
      <c r="D10" s="338"/>
      <c r="E10" s="338"/>
      <c r="F10" s="338"/>
      <c r="G10" s="338"/>
      <c r="H10" s="338"/>
      <c r="I10" s="338"/>
      <c r="J10" s="338"/>
      <c r="K10" s="338"/>
      <c r="L10" s="338"/>
      <c r="M10" s="338"/>
      <c r="N10" s="338"/>
      <c r="O10" s="338"/>
      <c r="P10" s="338"/>
      <c r="Q10" s="338"/>
      <c r="R10" s="338"/>
      <c r="S10" s="338"/>
      <c r="T10" s="338"/>
      <c r="U10" s="338"/>
      <c r="V10" s="338"/>
      <c r="W10" s="338"/>
      <c r="X10" s="338"/>
      <c r="Y10" s="338"/>
      <c r="Z10" s="338"/>
      <c r="AA10" s="338"/>
      <c r="AB10" s="338"/>
      <c r="AC10" s="338"/>
      <c r="AD10" s="16"/>
      <c r="AH10" s="26" t="s">
        <v>112</v>
      </c>
      <c r="AI10" s="2" t="s">
        <v>111</v>
      </c>
    </row>
    <row r="11" spans="1:35">
      <c r="A11" s="338"/>
      <c r="B11" s="338"/>
      <c r="C11" s="338"/>
      <c r="D11" s="338"/>
      <c r="E11" s="338"/>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16"/>
      <c r="AH11" s="26" t="s">
        <v>114</v>
      </c>
      <c r="AI11" s="2" t="s">
        <v>113</v>
      </c>
    </row>
    <row r="12" spans="1:35">
      <c r="A12" s="338"/>
      <c r="B12" s="338"/>
      <c r="C12" s="338"/>
      <c r="D12" s="338"/>
      <c r="E12" s="338"/>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16"/>
      <c r="AH12" s="26" t="s">
        <v>116</v>
      </c>
      <c r="AI12" s="2" t="s">
        <v>115</v>
      </c>
    </row>
    <row r="13" spans="1:35">
      <c r="A13" s="339"/>
      <c r="B13" s="339"/>
      <c r="C13" s="339"/>
      <c r="D13" s="339"/>
      <c r="E13" s="339"/>
      <c r="F13" s="339"/>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54"/>
      <c r="AH13" s="26" t="s">
        <v>118</v>
      </c>
      <c r="AI13" s="2" t="s">
        <v>117</v>
      </c>
    </row>
    <row r="14" spans="1:35" ht="6" customHeight="1">
      <c r="AH14" s="26" t="s">
        <v>120</v>
      </c>
      <c r="AI14" s="2" t="s">
        <v>119</v>
      </c>
    </row>
    <row r="15" spans="1:35" ht="6" customHeight="1">
      <c r="A15" s="1"/>
      <c r="AG15"/>
      <c r="AH15" s="26" t="s">
        <v>122</v>
      </c>
      <c r="AI15" s="2" t="s">
        <v>121</v>
      </c>
    </row>
    <row r="16" spans="1:35" ht="14.25" thickBot="1">
      <c r="A16" s="1"/>
      <c r="B16" s="32" t="s">
        <v>598</v>
      </c>
      <c r="C16" s="2" t="s">
        <v>32</v>
      </c>
      <c r="F16" s="350"/>
      <c r="G16" s="350"/>
      <c r="K16"/>
      <c r="L16"/>
      <c r="M16"/>
      <c r="N16"/>
      <c r="O16"/>
      <c r="P16"/>
      <c r="Q16"/>
      <c r="R16"/>
      <c r="S16"/>
      <c r="T16"/>
      <c r="U16"/>
      <c r="Y16" s="351"/>
      <c r="Z16" s="351"/>
      <c r="AA16" s="351"/>
      <c r="AB16" s="351"/>
      <c r="AC16" s="351"/>
      <c r="AG16"/>
      <c r="AH16" s="26" t="s">
        <v>36</v>
      </c>
      <c r="AI16" s="2" t="s">
        <v>123</v>
      </c>
    </row>
    <row r="17" spans="1:35" ht="25.15" customHeight="1" thickBot="1">
      <c r="A17" s="1"/>
      <c r="B17" s="54"/>
      <c r="C17" s="352"/>
      <c r="D17" s="353"/>
      <c r="E17" s="354"/>
      <c r="F17" s="355"/>
      <c r="G17" s="356"/>
      <c r="H17" s="356"/>
      <c r="I17" s="356"/>
      <c r="J17" s="356"/>
      <c r="K17"/>
      <c r="L17"/>
      <c r="M17"/>
      <c r="N17"/>
      <c r="O17"/>
      <c r="P17"/>
      <c r="Q17"/>
      <c r="R17"/>
      <c r="S17"/>
      <c r="T17"/>
      <c r="U17"/>
      <c r="V17" s="30"/>
      <c r="W17" s="30"/>
      <c r="X17" s="30"/>
      <c r="Y17" s="351"/>
      <c r="Z17" s="351"/>
      <c r="AA17" s="351"/>
      <c r="AB17" s="351"/>
      <c r="AC17" s="351"/>
      <c r="AG17"/>
      <c r="AH17" s="26" t="s">
        <v>125</v>
      </c>
      <c r="AI17" s="2" t="s">
        <v>124</v>
      </c>
    </row>
    <row r="18" spans="1:35" ht="5.85" customHeight="1">
      <c r="A18" s="1"/>
      <c r="B18" s="54"/>
      <c r="Y18" s="22"/>
      <c r="Z18" s="22"/>
      <c r="AA18" s="22"/>
      <c r="AB18" s="22"/>
      <c r="AC18" s="22"/>
      <c r="AG18"/>
      <c r="AH18" s="26" t="s">
        <v>127</v>
      </c>
      <c r="AI18" s="2" t="s">
        <v>126</v>
      </c>
    </row>
    <row r="19" spans="1:35" ht="14.25" thickBot="1">
      <c r="B19" s="32" t="s">
        <v>599</v>
      </c>
      <c r="C19" s="2" t="s">
        <v>31</v>
      </c>
      <c r="D19" s="4"/>
      <c r="E19" s="4"/>
      <c r="F19" s="4"/>
      <c r="G19" s="4"/>
      <c r="H19" s="4"/>
      <c r="I19" s="16"/>
      <c r="J19" s="4"/>
      <c r="K19" s="4"/>
      <c r="L19" s="4"/>
      <c r="M19" s="4"/>
      <c r="N19" s="16"/>
      <c r="O19" s="16"/>
      <c r="P19" s="16"/>
      <c r="Q19" s="16"/>
      <c r="R19" s="16"/>
      <c r="S19" s="16"/>
      <c r="T19" s="16"/>
      <c r="U19" s="16"/>
      <c r="V19" s="16"/>
      <c r="W19" s="16"/>
      <c r="X19" s="16"/>
      <c r="Y19" s="16"/>
      <c r="Z19" s="16"/>
      <c r="AH19" s="26" t="s">
        <v>129</v>
      </c>
      <c r="AI19" s="2" t="s">
        <v>128</v>
      </c>
    </row>
    <row r="20" spans="1:35" ht="13.5" customHeight="1">
      <c r="C20" s="344" t="s">
        <v>14</v>
      </c>
      <c r="D20" s="345"/>
      <c r="E20" s="345"/>
      <c r="F20" s="345"/>
      <c r="G20" s="346"/>
      <c r="H20" s="347"/>
      <c r="I20" s="348"/>
      <c r="J20" s="348"/>
      <c r="K20" s="348"/>
      <c r="L20" s="348"/>
      <c r="M20" s="348"/>
      <c r="N20" s="348"/>
      <c r="O20" s="348"/>
      <c r="P20" s="348"/>
      <c r="Q20" s="348"/>
      <c r="R20" s="348"/>
      <c r="S20" s="348"/>
      <c r="T20" s="348"/>
      <c r="U20" s="348"/>
      <c r="V20" s="348"/>
      <c r="W20" s="348"/>
      <c r="X20" s="348"/>
      <c r="Y20" s="348"/>
      <c r="Z20" s="348"/>
      <c r="AA20" s="348"/>
      <c r="AB20" s="348"/>
      <c r="AC20" s="349"/>
      <c r="AH20" s="26" t="s">
        <v>131</v>
      </c>
      <c r="AI20" s="2" t="s">
        <v>130</v>
      </c>
    </row>
    <row r="21" spans="1:35" ht="24" customHeight="1">
      <c r="C21" s="297" t="s">
        <v>64</v>
      </c>
      <c r="D21" s="298"/>
      <c r="E21" s="298"/>
      <c r="F21" s="298"/>
      <c r="G21" s="299"/>
      <c r="H21" s="300"/>
      <c r="I21" s="301"/>
      <c r="J21" s="301"/>
      <c r="K21" s="301"/>
      <c r="L21" s="301"/>
      <c r="M21" s="301"/>
      <c r="N21" s="301"/>
      <c r="O21" s="301"/>
      <c r="P21" s="301"/>
      <c r="Q21" s="301"/>
      <c r="R21" s="301"/>
      <c r="S21" s="301"/>
      <c r="T21" s="301"/>
      <c r="U21" s="301"/>
      <c r="V21" s="301"/>
      <c r="W21" s="301"/>
      <c r="X21" s="301"/>
      <c r="Y21" s="301"/>
      <c r="Z21" s="301"/>
      <c r="AA21" s="301"/>
      <c r="AB21" s="301"/>
      <c r="AC21" s="302"/>
      <c r="AH21" s="2" t="s">
        <v>35</v>
      </c>
      <c r="AI21" s="2" t="s">
        <v>132</v>
      </c>
    </row>
    <row r="22" spans="1:35" ht="30" customHeight="1">
      <c r="C22" s="265" t="s">
        <v>66</v>
      </c>
      <c r="D22" s="266"/>
      <c r="E22" s="266"/>
      <c r="F22" s="266"/>
      <c r="G22" s="267"/>
      <c r="H22" s="303" t="s">
        <v>65</v>
      </c>
      <c r="I22" s="267"/>
      <c r="J22" s="300"/>
      <c r="K22" s="301"/>
      <c r="L22" s="301"/>
      <c r="M22" s="301"/>
      <c r="N22" s="301"/>
      <c r="O22" s="310"/>
      <c r="P22" s="311" t="s">
        <v>175</v>
      </c>
      <c r="Q22" s="312"/>
      <c r="R22" s="300"/>
      <c r="S22" s="301"/>
      <c r="T22" s="301"/>
      <c r="U22" s="301"/>
      <c r="V22" s="301"/>
      <c r="W22" s="301"/>
      <c r="X22" s="301"/>
      <c r="Y22" s="301"/>
      <c r="Z22" s="301"/>
      <c r="AA22" s="301"/>
      <c r="AB22" s="301"/>
      <c r="AC22" s="302"/>
      <c r="AH22" s="2" t="s">
        <v>134</v>
      </c>
      <c r="AI22" s="2" t="s">
        <v>133</v>
      </c>
    </row>
    <row r="23" spans="1:35" ht="30" customHeight="1" thickBot="1">
      <c r="C23" s="313" t="s">
        <v>507</v>
      </c>
      <c r="D23" s="314"/>
      <c r="E23" s="314"/>
      <c r="F23" s="314"/>
      <c r="G23" s="314"/>
      <c r="H23" s="307"/>
      <c r="I23" s="308"/>
      <c r="J23" s="308"/>
      <c r="K23" s="308"/>
      <c r="L23" s="308"/>
      <c r="M23" s="308"/>
      <c r="N23" s="308"/>
      <c r="O23" s="308"/>
      <c r="P23" s="308"/>
      <c r="Q23" s="308"/>
      <c r="R23" s="308"/>
      <c r="S23" s="309"/>
      <c r="T23" s="304" t="s">
        <v>697</v>
      </c>
      <c r="U23" s="305"/>
      <c r="V23" s="305"/>
      <c r="W23" s="305"/>
      <c r="X23" s="305"/>
      <c r="Y23" s="305"/>
      <c r="Z23" s="305"/>
      <c r="AA23" s="305"/>
      <c r="AB23" s="305"/>
      <c r="AC23" s="306"/>
      <c r="AH23" s="2" t="s">
        <v>136</v>
      </c>
      <c r="AI23" s="2" t="s">
        <v>135</v>
      </c>
    </row>
    <row r="24" spans="1:35" ht="18" customHeight="1" thickBot="1">
      <c r="A24" s="1"/>
      <c r="B24" s="32" t="s">
        <v>600</v>
      </c>
      <c r="C24" s="2" t="s">
        <v>475</v>
      </c>
      <c r="Y24" s="58"/>
      <c r="Z24" s="58"/>
      <c r="AA24" s="58"/>
      <c r="AB24" s="58"/>
      <c r="AC24" s="150"/>
      <c r="AD24"/>
      <c r="AH24" s="2" t="s">
        <v>138</v>
      </c>
      <c r="AI24" s="2" t="s">
        <v>137</v>
      </c>
    </row>
    <row r="25" spans="1:35" ht="18" customHeight="1">
      <c r="B25" s="54"/>
      <c r="C25" s="294" t="s">
        <v>174</v>
      </c>
      <c r="D25" s="295"/>
      <c r="E25" s="296"/>
      <c r="F25" s="322"/>
      <c r="G25" s="323"/>
      <c r="H25" s="323"/>
      <c r="I25" s="323"/>
      <c r="J25" s="323"/>
      <c r="K25" s="323"/>
      <c r="L25" s="323"/>
      <c r="M25" s="324"/>
      <c r="N25" s="319" t="s">
        <v>596</v>
      </c>
      <c r="O25" s="320"/>
      <c r="P25" s="320"/>
      <c r="Q25" s="320"/>
      <c r="R25" s="320"/>
      <c r="S25" s="321"/>
      <c r="T25" s="317"/>
      <c r="U25" s="318"/>
      <c r="V25" s="318"/>
      <c r="W25" s="318"/>
      <c r="X25" s="318"/>
      <c r="Y25" s="33"/>
      <c r="Z25" s="315" t="str">
        <f>IF(T25="","",VLOOKUP(T25,AH3:AI33,2,FALSE))</f>
        <v/>
      </c>
      <c r="AA25" s="315"/>
      <c r="AB25" s="315"/>
      <c r="AC25" s="316"/>
      <c r="AH25" s="2" t="s">
        <v>140</v>
      </c>
      <c r="AI25" s="2" t="s">
        <v>139</v>
      </c>
    </row>
    <row r="26" spans="1:35">
      <c r="B26" s="54"/>
      <c r="C26" s="325" t="s">
        <v>13</v>
      </c>
      <c r="D26" s="326"/>
      <c r="E26" s="327"/>
      <c r="F26" s="328" t="s">
        <v>552</v>
      </c>
      <c r="G26" s="329"/>
      <c r="H26" s="329"/>
      <c r="I26" s="330"/>
      <c r="J26" s="331" t="s">
        <v>557</v>
      </c>
      <c r="K26" s="331"/>
      <c r="L26" s="331"/>
      <c r="M26" s="331"/>
      <c r="N26" s="331"/>
      <c r="O26" s="331"/>
      <c r="P26" s="331"/>
      <c r="Q26" s="331"/>
      <c r="R26" s="331"/>
      <c r="S26" s="331"/>
      <c r="T26" s="331"/>
      <c r="U26" s="331"/>
      <c r="V26" s="331"/>
      <c r="W26" s="331"/>
      <c r="X26" s="331"/>
      <c r="Y26" s="331"/>
      <c r="Z26" s="331"/>
      <c r="AA26" s="331"/>
      <c r="AB26" s="331"/>
      <c r="AC26" s="332"/>
      <c r="AE26" s="139" t="s">
        <v>613</v>
      </c>
      <c r="AH26" s="2" t="s">
        <v>142</v>
      </c>
      <c r="AI26" s="2" t="s">
        <v>141</v>
      </c>
    </row>
    <row r="27" spans="1:35" ht="24.95" customHeight="1">
      <c r="B27" s="54"/>
      <c r="C27" s="297"/>
      <c r="D27" s="298"/>
      <c r="E27" s="299"/>
      <c r="F27" s="333"/>
      <c r="G27" s="334"/>
      <c r="H27" s="334"/>
      <c r="I27" s="335"/>
      <c r="J27" s="278"/>
      <c r="K27" s="278"/>
      <c r="L27" s="278"/>
      <c r="M27" s="278"/>
      <c r="N27" s="278"/>
      <c r="O27" s="278"/>
      <c r="P27" s="278"/>
      <c r="Q27" s="278"/>
      <c r="R27" s="278"/>
      <c r="S27" s="278"/>
      <c r="T27" s="278"/>
      <c r="U27" s="278"/>
      <c r="V27" s="278"/>
      <c r="W27" s="278"/>
      <c r="X27" s="278"/>
      <c r="Y27" s="278"/>
      <c r="Z27" s="278"/>
      <c r="AA27" s="278"/>
      <c r="AB27" s="278"/>
      <c r="AC27" s="279"/>
      <c r="AE27" s="139" t="str">
        <f>IF(F27="","",IF(OR(F27="新潟県",#REF!&lt;&gt;""),"yes","no"))</f>
        <v/>
      </c>
      <c r="AH27" s="2" t="s">
        <v>144</v>
      </c>
      <c r="AI27" s="2" t="s">
        <v>143</v>
      </c>
    </row>
    <row r="28" spans="1:35" ht="24.95" customHeight="1">
      <c r="B28" s="54"/>
      <c r="C28" s="275" t="s">
        <v>597</v>
      </c>
      <c r="D28" s="276"/>
      <c r="E28" s="276"/>
      <c r="F28" s="276"/>
      <c r="G28" s="276"/>
      <c r="H28" s="276"/>
      <c r="I28" s="277"/>
      <c r="J28" s="278"/>
      <c r="K28" s="278"/>
      <c r="L28" s="278"/>
      <c r="M28" s="278"/>
      <c r="N28" s="278"/>
      <c r="O28" s="278"/>
      <c r="P28" s="278"/>
      <c r="Q28" s="278"/>
      <c r="R28" s="278"/>
      <c r="S28" s="278"/>
      <c r="T28" s="278"/>
      <c r="U28" s="278"/>
      <c r="V28" s="278"/>
      <c r="W28" s="278"/>
      <c r="X28" s="278"/>
      <c r="Y28" s="278"/>
      <c r="Z28" s="278"/>
      <c r="AA28" s="278"/>
      <c r="AB28" s="278"/>
      <c r="AC28" s="279"/>
      <c r="AD28" s="59"/>
      <c r="AH28" s="2" t="s">
        <v>146</v>
      </c>
      <c r="AI28" s="2" t="s">
        <v>145</v>
      </c>
    </row>
    <row r="29" spans="1:35" ht="22.15" customHeight="1">
      <c r="B29" s="54"/>
      <c r="C29" s="265" t="s">
        <v>473</v>
      </c>
      <c r="D29" s="266"/>
      <c r="E29" s="267"/>
      <c r="F29" s="268"/>
      <c r="G29" s="269"/>
      <c r="H29" s="269"/>
      <c r="I29" s="269"/>
      <c r="J29" s="269"/>
      <c r="K29" s="269"/>
      <c r="L29" s="269"/>
      <c r="M29" s="269"/>
      <c r="N29" s="269"/>
      <c r="O29" s="270"/>
      <c r="P29" s="271" t="s">
        <v>11</v>
      </c>
      <c r="Q29" s="272"/>
      <c r="R29" s="273"/>
      <c r="S29" s="268"/>
      <c r="T29" s="269"/>
      <c r="U29" s="269"/>
      <c r="V29" s="269"/>
      <c r="W29" s="269"/>
      <c r="X29" s="269"/>
      <c r="Y29" s="269"/>
      <c r="Z29" s="269"/>
      <c r="AA29" s="269"/>
      <c r="AB29" s="269"/>
      <c r="AC29" s="274"/>
      <c r="AH29" s="2" t="s">
        <v>148</v>
      </c>
      <c r="AI29" s="2" t="s">
        <v>147</v>
      </c>
    </row>
    <row r="30" spans="1:35" ht="22.15" customHeight="1">
      <c r="C30" s="242" t="s">
        <v>604</v>
      </c>
      <c r="D30" s="243"/>
      <c r="E30" s="243"/>
      <c r="F30" s="243"/>
      <c r="G30" s="280"/>
      <c r="H30" s="282" t="s">
        <v>555</v>
      </c>
      <c r="I30" s="283"/>
      <c r="J30" s="283"/>
      <c r="K30" s="284"/>
      <c r="L30" s="285"/>
      <c r="M30" s="286"/>
      <c r="N30" s="286"/>
      <c r="O30" s="286"/>
      <c r="P30" s="286"/>
      <c r="Q30" s="286"/>
      <c r="R30" s="286"/>
      <c r="S30" s="286"/>
      <c r="T30" s="286"/>
      <c r="U30" s="286"/>
      <c r="V30" s="286"/>
      <c r="W30" s="286"/>
      <c r="X30" s="286"/>
      <c r="Y30" s="286"/>
      <c r="Z30" s="286"/>
      <c r="AA30" s="286"/>
      <c r="AB30" s="286"/>
      <c r="AC30" s="287"/>
      <c r="AH30" s="2" t="s">
        <v>150</v>
      </c>
      <c r="AI30" s="2" t="s">
        <v>149</v>
      </c>
    </row>
    <row r="31" spans="1:35" ht="22.15" customHeight="1" thickBot="1">
      <c r="C31" s="245"/>
      <c r="D31" s="246"/>
      <c r="E31" s="246"/>
      <c r="F31" s="246"/>
      <c r="G31" s="281"/>
      <c r="H31" s="288" t="s">
        <v>473</v>
      </c>
      <c r="I31" s="289"/>
      <c r="J31" s="289"/>
      <c r="K31" s="290"/>
      <c r="L31" s="291"/>
      <c r="M31" s="292"/>
      <c r="N31" s="292"/>
      <c r="O31" s="292"/>
      <c r="P31" s="292"/>
      <c r="Q31" s="292"/>
      <c r="R31" s="292"/>
      <c r="S31" s="292"/>
      <c r="T31" s="292"/>
      <c r="U31" s="292"/>
      <c r="V31" s="292"/>
      <c r="W31" s="292"/>
      <c r="X31" s="292"/>
      <c r="Y31" s="292"/>
      <c r="Z31" s="292"/>
      <c r="AA31" s="292"/>
      <c r="AB31" s="292"/>
      <c r="AC31" s="293"/>
      <c r="AD31" s="6"/>
      <c r="AH31" s="2" t="s">
        <v>152</v>
      </c>
      <c r="AI31" s="2" t="s">
        <v>151</v>
      </c>
    </row>
    <row r="32" spans="1:35" ht="6" customHeight="1">
      <c r="AH32" s="2" t="s">
        <v>154</v>
      </c>
      <c r="AI32" s="2" t="s">
        <v>153</v>
      </c>
    </row>
    <row r="33" spans="1:39" ht="13.5" customHeight="1">
      <c r="A33" s="7"/>
      <c r="B33" s="32" t="s">
        <v>601</v>
      </c>
      <c r="C33" s="8" t="s">
        <v>176</v>
      </c>
      <c r="D33" s="4"/>
      <c r="E33" s="9"/>
      <c r="F33" s="34" t="s">
        <v>698</v>
      </c>
      <c r="G33" s="9"/>
      <c r="I33" s="9"/>
      <c r="J33" s="9"/>
      <c r="K33" s="9"/>
      <c r="L33" s="9"/>
      <c r="M33" s="9"/>
      <c r="N33" s="9"/>
      <c r="O33" s="9"/>
      <c r="P33" s="9"/>
      <c r="Q33" s="9"/>
      <c r="R33" s="9"/>
      <c r="S33" s="9"/>
      <c r="T33" s="9"/>
      <c r="U33" s="9"/>
      <c r="V33" s="9"/>
      <c r="W33" s="9"/>
      <c r="X33" s="9"/>
      <c r="Y33" s="9"/>
      <c r="Z33" s="9"/>
      <c r="AA33" s="9"/>
      <c r="AB33" s="4"/>
      <c r="AH33" s="2" t="s">
        <v>156</v>
      </c>
      <c r="AI33" s="2" t="s">
        <v>155</v>
      </c>
    </row>
    <row r="34" spans="1:39" ht="18" customHeight="1" thickBot="1">
      <c r="A34" s="7"/>
      <c r="B34" s="32" t="s">
        <v>602</v>
      </c>
      <c r="C34" s="10" t="s">
        <v>779</v>
      </c>
      <c r="D34" s="11"/>
      <c r="E34" s="11"/>
      <c r="F34" s="11"/>
      <c r="G34" s="12"/>
      <c r="H34" s="9"/>
      <c r="I34" s="9"/>
      <c r="J34" s="9"/>
      <c r="K34" s="9"/>
      <c r="L34" s="9"/>
      <c r="M34" s="9"/>
      <c r="N34" s="9"/>
      <c r="O34" s="9"/>
      <c r="P34" s="9"/>
      <c r="Q34" s="9"/>
      <c r="R34" s="9"/>
      <c r="S34" s="9"/>
      <c r="T34" s="9"/>
      <c r="U34" s="9"/>
      <c r="V34" s="9"/>
      <c r="W34" s="9"/>
      <c r="X34" s="9"/>
      <c r="Y34" s="9"/>
      <c r="Z34" s="9"/>
      <c r="AA34" s="9"/>
      <c r="AB34" s="4"/>
      <c r="AH34" s="26" t="s">
        <v>84</v>
      </c>
      <c r="AJ34" s="2" t="s">
        <v>85</v>
      </c>
    </row>
    <row r="35" spans="1:39" ht="13.5" customHeight="1">
      <c r="A35" s="7"/>
      <c r="B35" s="4"/>
      <c r="C35" s="239" t="s">
        <v>474</v>
      </c>
      <c r="D35" s="240"/>
      <c r="E35" s="240"/>
      <c r="F35" s="240"/>
      <c r="G35" s="240"/>
      <c r="H35" s="240"/>
      <c r="I35" s="240"/>
      <c r="J35" s="241"/>
      <c r="K35" s="248" t="s">
        <v>179</v>
      </c>
      <c r="L35" s="249"/>
      <c r="M35" s="249"/>
      <c r="N35" s="249"/>
      <c r="O35" s="249"/>
      <c r="P35" s="249"/>
      <c r="Q35" s="249"/>
      <c r="R35" s="249"/>
      <c r="S35" s="249"/>
      <c r="T35" s="249"/>
      <c r="U35" s="249"/>
      <c r="V35" s="249"/>
      <c r="W35" s="249"/>
      <c r="X35" s="249"/>
      <c r="Y35" s="249"/>
      <c r="Z35" s="249"/>
      <c r="AA35" s="249"/>
      <c r="AB35" s="249"/>
      <c r="AC35" s="250"/>
      <c r="AH35" s="31" t="s">
        <v>67</v>
      </c>
      <c r="AI35" s="2" t="s">
        <v>180</v>
      </c>
      <c r="AJ35" s="31" t="s">
        <v>639</v>
      </c>
      <c r="AK35" s="2" t="s">
        <v>187</v>
      </c>
      <c r="AL35" s="31" t="s">
        <v>67</v>
      </c>
      <c r="AM35" s="2" t="s">
        <v>180</v>
      </c>
    </row>
    <row r="36" spans="1:39">
      <c r="B36" s="4"/>
      <c r="C36" s="242"/>
      <c r="D36" s="243"/>
      <c r="E36" s="243"/>
      <c r="F36" s="243"/>
      <c r="G36" s="243"/>
      <c r="H36" s="243"/>
      <c r="I36" s="243"/>
      <c r="J36" s="244"/>
      <c r="K36" s="251" t="s">
        <v>178</v>
      </c>
      <c r="L36" s="252"/>
      <c r="M36" s="253" t="s">
        <v>15</v>
      </c>
      <c r="N36" s="254"/>
      <c r="O36" s="254"/>
      <c r="P36" s="254"/>
      <c r="Q36" s="254"/>
      <c r="R36" s="254"/>
      <c r="S36" s="254"/>
      <c r="T36" s="253" t="s">
        <v>178</v>
      </c>
      <c r="U36" s="252"/>
      <c r="V36" s="253" t="s">
        <v>58</v>
      </c>
      <c r="W36" s="254"/>
      <c r="X36" s="254"/>
      <c r="Y36" s="254"/>
      <c r="Z36" s="254"/>
      <c r="AA36" s="254"/>
      <c r="AB36" s="254"/>
      <c r="AC36" s="13"/>
      <c r="AH36" s="31" t="s">
        <v>68</v>
      </c>
      <c r="AI36" s="2" t="s">
        <v>198</v>
      </c>
      <c r="AJ36" s="31" t="s">
        <v>640</v>
      </c>
      <c r="AK36" s="2" t="s">
        <v>192</v>
      </c>
      <c r="AL36" s="31" t="s">
        <v>67</v>
      </c>
      <c r="AM36" s="2" t="s">
        <v>180</v>
      </c>
    </row>
    <row r="37" spans="1:39" ht="20.100000000000001" customHeight="1">
      <c r="B37" s="4"/>
      <c r="C37" s="242"/>
      <c r="D37" s="243"/>
      <c r="E37" s="243"/>
      <c r="F37" s="243"/>
      <c r="G37" s="243"/>
      <c r="H37" s="243"/>
      <c r="I37" s="243"/>
      <c r="J37" s="244"/>
      <c r="K37" s="255"/>
      <c r="L37" s="256"/>
      <c r="M37" s="257" t="str">
        <f>IF(K37="","",VLOOKUP(K37,$AH$35:$AI$45,2,FALSE))</f>
        <v/>
      </c>
      <c r="N37" s="258"/>
      <c r="O37" s="258"/>
      <c r="P37" s="258"/>
      <c r="Q37" s="258"/>
      <c r="R37" s="258"/>
      <c r="S37" s="258"/>
      <c r="T37" s="255"/>
      <c r="U37" s="256"/>
      <c r="V37" s="257" t="str">
        <f>IF(T37="","",VLOOKUP(T37,$AH$35:$AI$45,2,FALSE))</f>
        <v/>
      </c>
      <c r="W37" s="258"/>
      <c r="X37" s="258"/>
      <c r="Y37" s="258"/>
      <c r="Z37" s="258"/>
      <c r="AA37" s="258"/>
      <c r="AB37" s="258"/>
      <c r="AC37" s="264"/>
      <c r="AH37" s="31" t="s">
        <v>70</v>
      </c>
      <c r="AI37" s="2" t="s">
        <v>181</v>
      </c>
      <c r="AJ37" s="31" t="s">
        <v>641</v>
      </c>
      <c r="AK37" s="2" t="s">
        <v>199</v>
      </c>
      <c r="AL37" s="31" t="s">
        <v>68</v>
      </c>
      <c r="AM37" s="2" t="s">
        <v>198</v>
      </c>
    </row>
    <row r="38" spans="1:39" ht="20.100000000000001" customHeight="1">
      <c r="B38" s="4"/>
      <c r="C38" s="242"/>
      <c r="D38" s="243"/>
      <c r="E38" s="243"/>
      <c r="F38" s="243"/>
      <c r="G38" s="243"/>
      <c r="H38" s="243"/>
      <c r="I38" s="243"/>
      <c r="J38" s="244"/>
      <c r="K38" s="255"/>
      <c r="L38" s="256"/>
      <c r="M38" s="257" t="str">
        <f t="shared" ref="M38:M40" si="0">IF(K38="","",VLOOKUP(K38,$AH$35:$AI$45,2,FALSE))</f>
        <v/>
      </c>
      <c r="N38" s="258"/>
      <c r="O38" s="258"/>
      <c r="P38" s="258"/>
      <c r="Q38" s="258"/>
      <c r="R38" s="258"/>
      <c r="S38" s="258"/>
      <c r="T38" s="255"/>
      <c r="U38" s="256"/>
      <c r="V38" s="257" t="str">
        <f t="shared" ref="V38:V39" si="1">IF(T38="","",VLOOKUP(T38,$AH$35:$AI$45,2,FALSE))</f>
        <v/>
      </c>
      <c r="W38" s="258"/>
      <c r="X38" s="258"/>
      <c r="Y38" s="258"/>
      <c r="Z38" s="258"/>
      <c r="AA38" s="258"/>
      <c r="AB38" s="258"/>
      <c r="AC38" s="264"/>
      <c r="AH38" s="31" t="s">
        <v>72</v>
      </c>
      <c r="AI38" s="2" t="s">
        <v>182</v>
      </c>
      <c r="AJ38" s="31" t="s">
        <v>642</v>
      </c>
      <c r="AK38" s="2" t="s">
        <v>208</v>
      </c>
      <c r="AL38" s="31" t="s">
        <v>70</v>
      </c>
      <c r="AM38" s="2" t="s">
        <v>181</v>
      </c>
    </row>
    <row r="39" spans="1:39" ht="20.100000000000001" customHeight="1">
      <c r="B39" s="4"/>
      <c r="C39" s="242"/>
      <c r="D39" s="243"/>
      <c r="E39" s="243"/>
      <c r="F39" s="243"/>
      <c r="G39" s="243"/>
      <c r="H39" s="243"/>
      <c r="I39" s="243"/>
      <c r="J39" s="244"/>
      <c r="K39" s="255"/>
      <c r="L39" s="256"/>
      <c r="M39" s="257" t="str">
        <f t="shared" si="0"/>
        <v/>
      </c>
      <c r="N39" s="258"/>
      <c r="O39" s="258"/>
      <c r="P39" s="258"/>
      <c r="Q39" s="258"/>
      <c r="R39" s="258"/>
      <c r="S39" s="258"/>
      <c r="T39" s="255"/>
      <c r="U39" s="256"/>
      <c r="V39" s="257" t="str">
        <f t="shared" si="1"/>
        <v/>
      </c>
      <c r="W39" s="258"/>
      <c r="X39" s="258"/>
      <c r="Y39" s="258"/>
      <c r="Z39" s="258"/>
      <c r="AA39" s="258"/>
      <c r="AB39" s="258"/>
      <c r="AC39" s="264"/>
      <c r="AH39" s="31" t="s">
        <v>74</v>
      </c>
      <c r="AI39" s="2" t="s">
        <v>82</v>
      </c>
      <c r="AJ39" s="31" t="s">
        <v>643</v>
      </c>
      <c r="AK39" s="2" t="s">
        <v>504</v>
      </c>
      <c r="AL39" s="31" t="s">
        <v>70</v>
      </c>
      <c r="AM39" s="2" t="s">
        <v>181</v>
      </c>
    </row>
    <row r="40" spans="1:39" ht="20.100000000000001" customHeight="1" thickBot="1">
      <c r="B40" s="4"/>
      <c r="C40" s="242"/>
      <c r="D40" s="243"/>
      <c r="E40" s="243"/>
      <c r="F40" s="243"/>
      <c r="G40" s="243"/>
      <c r="H40" s="243"/>
      <c r="I40" s="243"/>
      <c r="J40" s="244"/>
      <c r="K40" s="255"/>
      <c r="L40" s="256"/>
      <c r="M40" s="257" t="str">
        <f t="shared" si="0"/>
        <v/>
      </c>
      <c r="N40" s="258"/>
      <c r="O40" s="258"/>
      <c r="P40" s="258"/>
      <c r="Q40" s="258"/>
      <c r="R40" s="258"/>
      <c r="S40" s="258"/>
      <c r="T40" s="259"/>
      <c r="U40" s="260"/>
      <c r="V40" s="261" t="str">
        <f>IF(T40="","",VLOOKUP(T40,$AH$35:$AI$45,2,FALSE))</f>
        <v/>
      </c>
      <c r="W40" s="262"/>
      <c r="X40" s="262"/>
      <c r="Y40" s="262"/>
      <c r="Z40" s="262"/>
      <c r="AA40" s="262"/>
      <c r="AB40" s="262"/>
      <c r="AC40" s="263"/>
      <c r="AH40" s="31" t="s">
        <v>76</v>
      </c>
      <c r="AI40" s="2" t="s">
        <v>83</v>
      </c>
      <c r="AJ40" s="31" t="s">
        <v>644</v>
      </c>
      <c r="AK40" s="2" t="s">
        <v>217</v>
      </c>
      <c r="AL40" s="31" t="s">
        <v>69</v>
      </c>
      <c r="AM40" s="2" t="s">
        <v>181</v>
      </c>
    </row>
    <row r="41" spans="1:39" ht="20.100000000000001" customHeight="1" thickBot="1">
      <c r="B41" s="4"/>
      <c r="C41" s="245"/>
      <c r="D41" s="246"/>
      <c r="E41" s="246"/>
      <c r="F41" s="246"/>
      <c r="G41" s="246"/>
      <c r="H41" s="246"/>
      <c r="I41" s="246"/>
      <c r="J41" s="247"/>
      <c r="K41" s="255"/>
      <c r="L41" s="256"/>
      <c r="M41" s="261" t="str">
        <f>IF(K41="","",VLOOKUP(K41,$AH$35:$AI$45,2,FALSE))</f>
        <v/>
      </c>
      <c r="N41" s="262"/>
      <c r="O41" s="262"/>
      <c r="P41" s="262"/>
      <c r="Q41" s="262"/>
      <c r="R41" s="262"/>
      <c r="S41" s="263"/>
      <c r="T41" s="14"/>
      <c r="U41" s="15"/>
      <c r="V41" s="52"/>
      <c r="W41" s="52"/>
      <c r="X41" s="16" t="str">
        <f>IF(T41="","",VLOOKUP(T41,#REF!,2,FALSE))</f>
        <v/>
      </c>
      <c r="Y41" s="16"/>
      <c r="Z41" s="16"/>
      <c r="AA41" s="16"/>
      <c r="AH41" s="31" t="s">
        <v>77</v>
      </c>
      <c r="AI41" s="2" t="s">
        <v>184</v>
      </c>
      <c r="AJ41" s="31" t="s">
        <v>645</v>
      </c>
      <c r="AK41" s="2" t="s">
        <v>223</v>
      </c>
      <c r="AL41" s="31" t="s">
        <v>69</v>
      </c>
      <c r="AM41" s="2" t="s">
        <v>181</v>
      </c>
    </row>
    <row r="42" spans="1:39" ht="18" customHeight="1">
      <c r="B42"/>
      <c r="C42"/>
      <c r="D42"/>
      <c r="E42"/>
      <c r="F42"/>
      <c r="G42"/>
      <c r="H42"/>
      <c r="I42"/>
      <c r="J42"/>
      <c r="K42"/>
      <c r="L42"/>
      <c r="M42"/>
      <c r="N42"/>
      <c r="O42"/>
      <c r="P42"/>
      <c r="Q42"/>
      <c r="R42"/>
      <c r="S42"/>
      <c r="T42"/>
      <c r="U42"/>
      <c r="V42"/>
      <c r="W42"/>
      <c r="X42"/>
      <c r="Y42"/>
      <c r="Z42"/>
      <c r="AA42"/>
      <c r="AB42"/>
      <c r="AC42"/>
      <c r="AH42" s="31" t="s">
        <v>79</v>
      </c>
      <c r="AI42" s="2" t="s">
        <v>363</v>
      </c>
      <c r="AJ42" s="31" t="s">
        <v>646</v>
      </c>
      <c r="AK42" s="2" t="s">
        <v>226</v>
      </c>
      <c r="AL42" s="31" t="s">
        <v>69</v>
      </c>
      <c r="AM42" s="2" t="s">
        <v>181</v>
      </c>
    </row>
    <row r="43" spans="1:39" ht="13.5" customHeight="1">
      <c r="B43" s="32" t="s">
        <v>603</v>
      </c>
      <c r="C43" s="17" t="s">
        <v>177</v>
      </c>
      <c r="D43" s="4"/>
      <c r="E43" s="4"/>
      <c r="G43" s="4"/>
      <c r="H43" s="4"/>
      <c r="I43" s="20" t="s">
        <v>792</v>
      </c>
      <c r="J43"/>
      <c r="K43"/>
      <c r="L43"/>
      <c r="M43"/>
      <c r="N43"/>
      <c r="O43"/>
      <c r="P43"/>
      <c r="Q43"/>
      <c r="R43"/>
      <c r="S43"/>
      <c r="T43"/>
      <c r="U43"/>
      <c r="V43"/>
      <c r="W43"/>
      <c r="X43"/>
      <c r="Y43"/>
      <c r="Z43"/>
      <c r="AA43"/>
      <c r="AB43"/>
      <c r="AC43"/>
      <c r="AH43" s="31" t="s">
        <v>81</v>
      </c>
      <c r="AI43" s="2" t="s">
        <v>185</v>
      </c>
      <c r="AJ43" s="31" t="s">
        <v>647</v>
      </c>
      <c r="AK43" s="2" t="s">
        <v>230</v>
      </c>
      <c r="AL43" s="31" t="s">
        <v>72</v>
      </c>
      <c r="AM43" s="2" t="s">
        <v>182</v>
      </c>
    </row>
    <row r="44" spans="1:39" ht="13.5" customHeight="1">
      <c r="B44"/>
      <c r="C44"/>
      <c r="D44"/>
      <c r="E44"/>
      <c r="F44"/>
      <c r="G44"/>
      <c r="H44"/>
      <c r="I44"/>
      <c r="J44"/>
      <c r="K44"/>
      <c r="L44"/>
      <c r="M44"/>
      <c r="N44"/>
      <c r="O44"/>
      <c r="P44"/>
      <c r="Q44"/>
      <c r="R44"/>
      <c r="S44"/>
      <c r="T44"/>
      <c r="U44"/>
      <c r="V44"/>
      <c r="W44"/>
      <c r="X44"/>
      <c r="Y44"/>
      <c r="Z44"/>
      <c r="AA44"/>
      <c r="AB44"/>
      <c r="AC44"/>
      <c r="AH44" s="31" t="s">
        <v>759</v>
      </c>
      <c r="AI44" s="2" t="s">
        <v>762</v>
      </c>
      <c r="AJ44" s="31" t="s">
        <v>648</v>
      </c>
      <c r="AK44" s="2" t="s">
        <v>240</v>
      </c>
      <c r="AL44" s="31" t="s">
        <v>72</v>
      </c>
      <c r="AM44" s="2" t="s">
        <v>182</v>
      </c>
    </row>
    <row r="45" spans="1:39" ht="23.1" customHeight="1">
      <c r="B45"/>
      <c r="C45"/>
      <c r="D45"/>
      <c r="E45"/>
      <c r="F45"/>
      <c r="G45"/>
      <c r="H45"/>
      <c r="I45"/>
      <c r="J45"/>
      <c r="K45"/>
      <c r="L45"/>
      <c r="M45"/>
      <c r="N45"/>
      <c r="O45"/>
      <c r="P45"/>
      <c r="Q45"/>
      <c r="R45"/>
      <c r="S45"/>
      <c r="T45"/>
      <c r="U45"/>
      <c r="V45"/>
      <c r="W45"/>
      <c r="X45"/>
      <c r="Y45"/>
      <c r="Z45"/>
      <c r="AA45"/>
      <c r="AB45"/>
      <c r="AC45"/>
      <c r="AH45" s="31" t="s">
        <v>761</v>
      </c>
      <c r="AI45" s="2" t="s">
        <v>763</v>
      </c>
      <c r="AJ45" s="31" t="s">
        <v>649</v>
      </c>
      <c r="AK45" s="2" t="s">
        <v>249</v>
      </c>
      <c r="AL45" s="31" t="s">
        <v>71</v>
      </c>
      <c r="AM45" s="2" t="s">
        <v>182</v>
      </c>
    </row>
    <row r="46" spans="1:39" ht="23.1" customHeight="1">
      <c r="B46"/>
      <c r="C46"/>
      <c r="D46"/>
      <c r="E46"/>
      <c r="F46"/>
      <c r="G46"/>
      <c r="H46"/>
      <c r="I46"/>
      <c r="J46"/>
      <c r="K46"/>
      <c r="L46"/>
      <c r="M46"/>
      <c r="N46"/>
      <c r="O46"/>
      <c r="P46"/>
      <c r="Q46"/>
      <c r="R46"/>
      <c r="S46"/>
      <c r="T46"/>
      <c r="U46"/>
      <c r="V46"/>
      <c r="W46"/>
      <c r="X46"/>
      <c r="Y46"/>
      <c r="Z46"/>
      <c r="AA46"/>
      <c r="AB46"/>
      <c r="AC46"/>
      <c r="AH46" s="31"/>
      <c r="AJ46" s="31" t="s">
        <v>650</v>
      </c>
      <c r="AK46" s="2" t="s">
        <v>258</v>
      </c>
      <c r="AL46" s="31" t="s">
        <v>71</v>
      </c>
      <c r="AM46" s="2" t="s">
        <v>182</v>
      </c>
    </row>
    <row r="47" spans="1:39" ht="23.1" customHeight="1">
      <c r="B47"/>
      <c r="C47"/>
      <c r="D47"/>
      <c r="E47"/>
      <c r="F47"/>
      <c r="G47"/>
      <c r="H47"/>
      <c r="I47"/>
      <c r="J47"/>
      <c r="K47"/>
      <c r="L47"/>
      <c r="M47"/>
      <c r="N47"/>
      <c r="O47"/>
      <c r="P47"/>
      <c r="Q47"/>
      <c r="R47"/>
      <c r="S47"/>
      <c r="T47"/>
      <c r="U47"/>
      <c r="V47"/>
      <c r="W47"/>
      <c r="X47"/>
      <c r="Y47"/>
      <c r="Z47"/>
      <c r="AA47"/>
      <c r="AB47"/>
      <c r="AC47"/>
      <c r="AH47" s="31"/>
      <c r="AJ47" s="31" t="s">
        <v>651</v>
      </c>
      <c r="AK47" s="2" t="s">
        <v>86</v>
      </c>
      <c r="AL47" s="31" t="s">
        <v>71</v>
      </c>
      <c r="AM47" s="2" t="s">
        <v>182</v>
      </c>
    </row>
    <row r="48" spans="1:39" ht="6" customHeight="1">
      <c r="B48" s="54"/>
      <c r="C48" s="5"/>
      <c r="D48" s="5"/>
      <c r="E48" s="5"/>
      <c r="F48" s="4"/>
      <c r="AH48" s="2"/>
      <c r="AJ48" s="31" t="s">
        <v>652</v>
      </c>
      <c r="AK48" s="2" t="s">
        <v>275</v>
      </c>
      <c r="AL48" s="31" t="s">
        <v>71</v>
      </c>
      <c r="AM48" s="2" t="s">
        <v>182</v>
      </c>
    </row>
    <row r="49" spans="2:39">
      <c r="B49" s="32"/>
      <c r="C49" s="17"/>
      <c r="D49" s="4"/>
      <c r="E49" s="4"/>
      <c r="G49" s="4"/>
      <c r="H49" s="4"/>
      <c r="I49" s="20"/>
      <c r="J49" s="4"/>
      <c r="K49" s="4"/>
      <c r="L49" s="4"/>
      <c r="M49" s="4"/>
      <c r="N49" s="4"/>
      <c r="O49" s="4"/>
      <c r="P49" s="4"/>
      <c r="Q49" s="4"/>
      <c r="R49" s="4"/>
      <c r="S49" s="4"/>
      <c r="T49" s="4"/>
      <c r="U49" s="4"/>
      <c r="V49" s="4"/>
      <c r="W49" s="4"/>
      <c r="X49" s="4"/>
      <c r="Y49" s="4"/>
      <c r="Z49" s="4"/>
      <c r="AA49" s="4"/>
      <c r="AB49" s="4"/>
      <c r="AJ49" s="31" t="s">
        <v>653</v>
      </c>
      <c r="AK49" s="2" t="s">
        <v>283</v>
      </c>
      <c r="AL49" s="31" t="s">
        <v>71</v>
      </c>
      <c r="AM49" s="2" t="s">
        <v>182</v>
      </c>
    </row>
    <row r="50" spans="2:39">
      <c r="B50" s="32"/>
      <c r="C50" s="18"/>
      <c r="D50" s="4"/>
      <c r="E50" s="4"/>
      <c r="F50" s="4"/>
      <c r="G50" s="4"/>
      <c r="H50" s="4"/>
      <c r="I50" s="35"/>
      <c r="J50" s="16"/>
      <c r="L50" s="16"/>
      <c r="M50" s="16"/>
      <c r="N50" s="16"/>
      <c r="O50" s="16"/>
      <c r="P50" s="16"/>
      <c r="Q50" s="16"/>
      <c r="R50" s="16"/>
      <c r="S50" s="16"/>
      <c r="T50" s="16"/>
      <c r="U50" s="16"/>
      <c r="V50" s="16"/>
      <c r="W50" s="16"/>
      <c r="X50" s="16"/>
      <c r="Y50" s="16"/>
      <c r="Z50" s="16"/>
      <c r="AA50" s="16"/>
      <c r="AB50" s="16"/>
      <c r="AC50" s="16"/>
      <c r="AJ50" s="31" t="s">
        <v>654</v>
      </c>
      <c r="AK50" s="2" t="s">
        <v>289</v>
      </c>
      <c r="AL50" s="31" t="s">
        <v>71</v>
      </c>
      <c r="AM50" s="2" t="s">
        <v>182</v>
      </c>
    </row>
    <row r="51" spans="2:39">
      <c r="B51" s="32"/>
      <c r="C51" s="18"/>
      <c r="D51" s="4"/>
      <c r="E51" s="4"/>
      <c r="F51" s="4"/>
      <c r="G51" s="4"/>
      <c r="H51" s="4"/>
      <c r="I51" s="35"/>
      <c r="J51" s="16"/>
      <c r="L51" s="16"/>
      <c r="M51" s="16"/>
      <c r="N51" s="16"/>
      <c r="O51" s="16"/>
      <c r="P51" s="16"/>
      <c r="Q51" s="16"/>
      <c r="R51" s="16"/>
      <c r="S51" s="16"/>
      <c r="T51" s="16"/>
      <c r="U51" s="16"/>
      <c r="V51" s="16"/>
      <c r="W51" s="16"/>
      <c r="X51" s="16"/>
      <c r="Y51" s="16"/>
      <c r="Z51" s="16"/>
      <c r="AA51" s="16"/>
      <c r="AB51" s="16"/>
      <c r="AC51" s="16"/>
      <c r="AD51" s="16"/>
      <c r="AJ51" s="31" t="s">
        <v>655</v>
      </c>
      <c r="AK51" s="2" t="s">
        <v>293</v>
      </c>
      <c r="AL51" s="31" t="s">
        <v>71</v>
      </c>
      <c r="AM51" s="2" t="s">
        <v>182</v>
      </c>
    </row>
    <row r="52" spans="2:39">
      <c r="B52" s="4"/>
      <c r="C52" s="4"/>
      <c r="D52" s="4"/>
      <c r="E52" s="4"/>
      <c r="F52" s="4"/>
      <c r="G52" s="4"/>
      <c r="H52" s="4"/>
      <c r="I52" s="4"/>
      <c r="J52" s="4"/>
      <c r="K52" s="4"/>
      <c r="L52" s="4"/>
      <c r="M52" s="4"/>
      <c r="N52" s="4"/>
      <c r="O52" s="4"/>
      <c r="P52" s="4"/>
      <c r="Q52" s="4"/>
      <c r="R52" s="4"/>
      <c r="S52" s="4"/>
      <c r="T52" s="4"/>
      <c r="U52" s="4"/>
      <c r="V52" s="4"/>
      <c r="W52" s="4"/>
      <c r="X52" s="4"/>
      <c r="Y52" s="4"/>
      <c r="Z52" s="4"/>
      <c r="AA52" s="4"/>
      <c r="AB52" s="4"/>
      <c r="AJ52" s="31" t="s">
        <v>656</v>
      </c>
      <c r="AK52" s="2" t="s">
        <v>302</v>
      </c>
      <c r="AL52" s="31" t="s">
        <v>71</v>
      </c>
      <c r="AM52" s="2" t="s">
        <v>182</v>
      </c>
    </row>
    <row r="53" spans="2:39">
      <c r="AJ53" s="31" t="s">
        <v>657</v>
      </c>
      <c r="AK53" s="2" t="s">
        <v>305</v>
      </c>
      <c r="AL53" s="31" t="s">
        <v>71</v>
      </c>
      <c r="AM53" s="2" t="s">
        <v>182</v>
      </c>
    </row>
    <row r="54" spans="2:39">
      <c r="AJ54" s="31" t="s">
        <v>658</v>
      </c>
      <c r="AK54" s="2" t="s">
        <v>313</v>
      </c>
      <c r="AL54" s="31" t="s">
        <v>74</v>
      </c>
      <c r="AM54" s="2" t="s">
        <v>82</v>
      </c>
    </row>
    <row r="55" spans="2:39">
      <c r="AJ55" s="31" t="s">
        <v>659</v>
      </c>
      <c r="AK55" s="2" t="s">
        <v>87</v>
      </c>
      <c r="AL55" s="31" t="s">
        <v>74</v>
      </c>
      <c r="AM55" s="2" t="s">
        <v>82</v>
      </c>
    </row>
    <row r="56" spans="2:39">
      <c r="AJ56" s="31" t="s">
        <v>660</v>
      </c>
      <c r="AK56" s="2" t="s">
        <v>88</v>
      </c>
      <c r="AL56" s="31" t="s">
        <v>73</v>
      </c>
      <c r="AM56" s="2" t="s">
        <v>82</v>
      </c>
    </row>
    <row r="57" spans="2:39">
      <c r="AJ57" s="31" t="s">
        <v>661</v>
      </c>
      <c r="AK57" s="2" t="s">
        <v>336</v>
      </c>
      <c r="AL57" s="31" t="s">
        <v>76</v>
      </c>
      <c r="AM57" s="2" t="s">
        <v>83</v>
      </c>
    </row>
    <row r="58" spans="2:39">
      <c r="AJ58" s="31" t="s">
        <v>662</v>
      </c>
      <c r="AK58" s="2" t="s">
        <v>43</v>
      </c>
      <c r="AL58" s="31" t="s">
        <v>76</v>
      </c>
      <c r="AM58" s="2" t="s">
        <v>83</v>
      </c>
    </row>
    <row r="59" spans="2:39">
      <c r="AJ59" s="31" t="s">
        <v>663</v>
      </c>
      <c r="AK59" s="2" t="s">
        <v>98</v>
      </c>
      <c r="AL59" s="31" t="s">
        <v>75</v>
      </c>
      <c r="AM59" s="2" t="s">
        <v>83</v>
      </c>
    </row>
    <row r="60" spans="2:39">
      <c r="AJ60" s="31" t="s">
        <v>664</v>
      </c>
      <c r="AK60" s="2" t="s">
        <v>184</v>
      </c>
      <c r="AL60" s="31" t="s">
        <v>77</v>
      </c>
      <c r="AM60" s="2" t="s">
        <v>184</v>
      </c>
    </row>
    <row r="61" spans="2:39">
      <c r="AJ61" s="31" t="s">
        <v>665</v>
      </c>
      <c r="AK61" s="2" t="s">
        <v>89</v>
      </c>
      <c r="AL61" s="31" t="s">
        <v>79</v>
      </c>
      <c r="AM61" s="2" t="s">
        <v>363</v>
      </c>
    </row>
    <row r="62" spans="2:39">
      <c r="AJ62" s="31" t="s">
        <v>666</v>
      </c>
      <c r="AK62" s="2" t="s">
        <v>90</v>
      </c>
      <c r="AL62" s="31" t="s">
        <v>79</v>
      </c>
      <c r="AM62" s="2" t="s">
        <v>363</v>
      </c>
    </row>
    <row r="63" spans="2:39">
      <c r="AJ63" s="31" t="s">
        <v>667</v>
      </c>
      <c r="AK63" s="2" t="s">
        <v>379</v>
      </c>
      <c r="AL63" s="31" t="s">
        <v>78</v>
      </c>
      <c r="AM63" s="2" t="s">
        <v>363</v>
      </c>
    </row>
    <row r="64" spans="2:39">
      <c r="AJ64" s="31" t="s">
        <v>668</v>
      </c>
      <c r="AK64" s="2" t="s">
        <v>383</v>
      </c>
      <c r="AL64" s="31" t="s">
        <v>78</v>
      </c>
      <c r="AM64" s="2" t="s">
        <v>363</v>
      </c>
    </row>
    <row r="65" spans="34:39">
      <c r="AJ65" s="31" t="s">
        <v>669</v>
      </c>
      <c r="AK65" s="2" t="s">
        <v>393</v>
      </c>
      <c r="AL65" s="31" t="s">
        <v>78</v>
      </c>
      <c r="AM65" s="2" t="s">
        <v>363</v>
      </c>
    </row>
    <row r="66" spans="34:39">
      <c r="AJ66" s="31" t="s">
        <v>670</v>
      </c>
      <c r="AK66" s="2" t="s">
        <v>397</v>
      </c>
      <c r="AL66" s="31" t="s">
        <v>81</v>
      </c>
      <c r="AM66" s="2" t="s">
        <v>185</v>
      </c>
    </row>
    <row r="67" spans="34:39">
      <c r="AJ67" s="31" t="s">
        <v>671</v>
      </c>
      <c r="AK67" s="2" t="s">
        <v>91</v>
      </c>
      <c r="AL67" s="31" t="s">
        <v>81</v>
      </c>
      <c r="AM67" s="2" t="s">
        <v>185</v>
      </c>
    </row>
    <row r="68" spans="34:39">
      <c r="AJ68" s="31" t="s">
        <v>672</v>
      </c>
      <c r="AK68" s="2" t="s">
        <v>408</v>
      </c>
      <c r="AL68" s="31" t="s">
        <v>80</v>
      </c>
      <c r="AM68" s="2" t="s">
        <v>185</v>
      </c>
    </row>
    <row r="69" spans="34:39">
      <c r="AJ69" s="31" t="s">
        <v>673</v>
      </c>
      <c r="AK69" s="2" t="s">
        <v>412</v>
      </c>
      <c r="AL69" s="31" t="s">
        <v>80</v>
      </c>
      <c r="AM69" s="2" t="s">
        <v>185</v>
      </c>
    </row>
    <row r="70" spans="34:39">
      <c r="AJ70" s="31" t="s">
        <v>674</v>
      </c>
      <c r="AK70" s="2" t="s">
        <v>92</v>
      </c>
      <c r="AL70" s="31" t="s">
        <v>80</v>
      </c>
      <c r="AM70" s="2" t="s">
        <v>185</v>
      </c>
    </row>
    <row r="71" spans="34:39">
      <c r="AJ71" s="31" t="s">
        <v>675</v>
      </c>
      <c r="AK71" s="2" t="s">
        <v>93</v>
      </c>
      <c r="AL71" s="31" t="s">
        <v>80</v>
      </c>
      <c r="AM71" s="2" t="s">
        <v>185</v>
      </c>
    </row>
    <row r="72" spans="34:39">
      <c r="AJ72" s="31" t="s">
        <v>676</v>
      </c>
      <c r="AK72" s="2" t="s">
        <v>505</v>
      </c>
      <c r="AL72" s="31" t="s">
        <v>80</v>
      </c>
      <c r="AM72" s="2" t="s">
        <v>185</v>
      </c>
    </row>
    <row r="73" spans="34:39">
      <c r="AJ73" s="31" t="s">
        <v>677</v>
      </c>
      <c r="AK73" s="2" t="s">
        <v>94</v>
      </c>
      <c r="AL73" s="31" t="s">
        <v>80</v>
      </c>
      <c r="AM73" s="2" t="s">
        <v>185</v>
      </c>
    </row>
    <row r="74" spans="34:39">
      <c r="AJ74" s="31" t="s">
        <v>678</v>
      </c>
      <c r="AK74" s="2" t="s">
        <v>95</v>
      </c>
      <c r="AL74" s="31" t="s">
        <v>80</v>
      </c>
      <c r="AM74" s="2" t="s">
        <v>185</v>
      </c>
    </row>
    <row r="75" spans="34:39">
      <c r="AJ75" s="31" t="s">
        <v>679</v>
      </c>
      <c r="AK75" s="2" t="s">
        <v>96</v>
      </c>
      <c r="AL75" s="31" t="s">
        <v>80</v>
      </c>
      <c r="AM75" s="2" t="s">
        <v>185</v>
      </c>
    </row>
    <row r="76" spans="34:39">
      <c r="AJ76" s="31" t="s">
        <v>680</v>
      </c>
      <c r="AK76" s="2" t="s">
        <v>97</v>
      </c>
      <c r="AL76" s="31" t="s">
        <v>80</v>
      </c>
      <c r="AM76" s="2" t="s">
        <v>185</v>
      </c>
    </row>
    <row r="77" spans="34:39">
      <c r="AJ77" s="31" t="s">
        <v>681</v>
      </c>
      <c r="AK77" s="2" t="s">
        <v>460</v>
      </c>
      <c r="AL77" s="31" t="s">
        <v>80</v>
      </c>
      <c r="AM77" s="2" t="s">
        <v>185</v>
      </c>
    </row>
    <row r="78" spans="34:39">
      <c r="AJ78" s="31" t="s">
        <v>682</v>
      </c>
      <c r="AK78" s="2" t="s">
        <v>466</v>
      </c>
      <c r="AL78" s="31" t="s">
        <v>80</v>
      </c>
      <c r="AM78" s="2" t="s">
        <v>185</v>
      </c>
    </row>
    <row r="79" spans="34:39">
      <c r="AJ79" s="31" t="s">
        <v>683</v>
      </c>
      <c r="AK79" s="2" t="s">
        <v>396</v>
      </c>
      <c r="AL79" s="31" t="s">
        <v>80</v>
      </c>
      <c r="AM79" s="2" t="s">
        <v>185</v>
      </c>
    </row>
    <row r="80" spans="34:39">
      <c r="AH80" s="2"/>
      <c r="AJ80" s="31" t="s">
        <v>766</v>
      </c>
      <c r="AK80" s="2" t="s">
        <v>700</v>
      </c>
      <c r="AL80" s="31" t="s">
        <v>759</v>
      </c>
      <c r="AM80" s="2" t="s">
        <v>765</v>
      </c>
    </row>
    <row r="81" spans="36:39">
      <c r="AJ81" s="31" t="s">
        <v>767</v>
      </c>
      <c r="AK81" s="2" t="s">
        <v>764</v>
      </c>
      <c r="AL81" s="31" t="s">
        <v>759</v>
      </c>
      <c r="AM81" s="2" t="s">
        <v>765</v>
      </c>
    </row>
    <row r="82" spans="36:39">
      <c r="AJ82" s="31" t="s">
        <v>768</v>
      </c>
      <c r="AK82" s="2" t="s">
        <v>714</v>
      </c>
      <c r="AL82" s="31" t="s">
        <v>759</v>
      </c>
      <c r="AM82" s="2" t="s">
        <v>765</v>
      </c>
    </row>
    <row r="83" spans="36:39">
      <c r="AJ83" s="31" t="s">
        <v>769</v>
      </c>
      <c r="AK83" s="2" t="s">
        <v>721</v>
      </c>
      <c r="AL83" s="31" t="s">
        <v>759</v>
      </c>
      <c r="AM83" s="2" t="s">
        <v>765</v>
      </c>
    </row>
    <row r="84" spans="36:39">
      <c r="AJ84" s="31" t="s">
        <v>770</v>
      </c>
      <c r="AK84" s="2" t="s">
        <v>726</v>
      </c>
      <c r="AL84" s="31" t="s">
        <v>759</v>
      </c>
      <c r="AM84" s="2" t="s">
        <v>765</v>
      </c>
    </row>
    <row r="85" spans="36:39">
      <c r="AJ85" s="31" t="s">
        <v>771</v>
      </c>
      <c r="AK85" s="2" t="s">
        <v>730</v>
      </c>
      <c r="AL85" s="31" t="s">
        <v>759</v>
      </c>
      <c r="AM85" s="2" t="s">
        <v>765</v>
      </c>
    </row>
    <row r="86" spans="36:39">
      <c r="AJ86" s="31" t="s">
        <v>772</v>
      </c>
      <c r="AK86" s="2" t="s">
        <v>734</v>
      </c>
      <c r="AL86" s="31" t="s">
        <v>759</v>
      </c>
      <c r="AM86" s="2" t="s">
        <v>765</v>
      </c>
    </row>
    <row r="87" spans="36:39">
      <c r="AJ87" s="31" t="s">
        <v>773</v>
      </c>
      <c r="AK87" s="2" t="s">
        <v>739</v>
      </c>
      <c r="AL87" s="31" t="s">
        <v>759</v>
      </c>
      <c r="AM87" s="2" t="s">
        <v>765</v>
      </c>
    </row>
    <row r="88" spans="36:39">
      <c r="AJ88" s="31" t="s">
        <v>774</v>
      </c>
      <c r="AK88" s="2" t="s">
        <v>743</v>
      </c>
      <c r="AL88" s="31" t="s">
        <v>759</v>
      </c>
      <c r="AM88" s="2" t="s">
        <v>765</v>
      </c>
    </row>
    <row r="89" spans="36:39">
      <c r="AJ89" s="31" t="s">
        <v>775</v>
      </c>
      <c r="AK89" s="2" t="s">
        <v>396</v>
      </c>
      <c r="AL89" s="31" t="s">
        <v>759</v>
      </c>
      <c r="AM89" s="2" t="s">
        <v>765</v>
      </c>
    </row>
    <row r="90" spans="36:39">
      <c r="AJ90" s="31" t="s">
        <v>776</v>
      </c>
      <c r="AK90" s="2" t="s">
        <v>777</v>
      </c>
      <c r="AL90" s="31" t="s">
        <v>760</v>
      </c>
      <c r="AM90" s="2" t="s">
        <v>763</v>
      </c>
    </row>
  </sheetData>
  <sheetProtection selectLockedCells="1"/>
  <mergeCells count="66">
    <mergeCell ref="A1:D2"/>
    <mergeCell ref="A10:AC13"/>
    <mergeCell ref="R7:U7"/>
    <mergeCell ref="V7:W7"/>
    <mergeCell ref="C20:G20"/>
    <mergeCell ref="H20:AC20"/>
    <mergeCell ref="F16:G16"/>
    <mergeCell ref="Y16:AC17"/>
    <mergeCell ref="C17:E17"/>
    <mergeCell ref="F17:J17"/>
    <mergeCell ref="A5:AC6"/>
    <mergeCell ref="C26:E27"/>
    <mergeCell ref="F26:I26"/>
    <mergeCell ref="J26:AC26"/>
    <mergeCell ref="F27:I27"/>
    <mergeCell ref="J27:AC27"/>
    <mergeCell ref="C25:E25"/>
    <mergeCell ref="C21:G21"/>
    <mergeCell ref="H21:AC21"/>
    <mergeCell ref="C22:G22"/>
    <mergeCell ref="H22:I22"/>
    <mergeCell ref="T23:AC23"/>
    <mergeCell ref="H23:S23"/>
    <mergeCell ref="J22:O22"/>
    <mergeCell ref="P22:Q22"/>
    <mergeCell ref="R22:AC22"/>
    <mergeCell ref="C23:G23"/>
    <mergeCell ref="Z25:AC25"/>
    <mergeCell ref="T25:X25"/>
    <mergeCell ref="N25:S25"/>
    <mergeCell ref="F25:M25"/>
    <mergeCell ref="C30:G31"/>
    <mergeCell ref="H30:K30"/>
    <mergeCell ref="L30:AC30"/>
    <mergeCell ref="H31:K31"/>
    <mergeCell ref="L31:AC31"/>
    <mergeCell ref="C29:E29"/>
    <mergeCell ref="F29:O29"/>
    <mergeCell ref="P29:R29"/>
    <mergeCell ref="S29:AC29"/>
    <mergeCell ref="C28:I28"/>
    <mergeCell ref="J28:AC28"/>
    <mergeCell ref="T38:U38"/>
    <mergeCell ref="V38:AC38"/>
    <mergeCell ref="K39:L39"/>
    <mergeCell ref="M39:S39"/>
    <mergeCell ref="T39:U39"/>
    <mergeCell ref="V39:AC39"/>
    <mergeCell ref="K38:L38"/>
    <mergeCell ref="M38:S38"/>
    <mergeCell ref="C35:J41"/>
    <mergeCell ref="K35:AC35"/>
    <mergeCell ref="K36:L36"/>
    <mergeCell ref="M36:S36"/>
    <mergeCell ref="T36:U36"/>
    <mergeCell ref="V36:AB36"/>
    <mergeCell ref="K37:L37"/>
    <mergeCell ref="M37:S37"/>
    <mergeCell ref="T37:U37"/>
    <mergeCell ref="K40:L40"/>
    <mergeCell ref="M40:S40"/>
    <mergeCell ref="T40:U40"/>
    <mergeCell ref="V40:AC40"/>
    <mergeCell ref="K41:L41"/>
    <mergeCell ref="M41:S41"/>
    <mergeCell ref="V37:AC37"/>
  </mergeCells>
  <phoneticPr fontId="2"/>
  <conditionalFormatting sqref="F25 F29 S29">
    <cfRule type="cellIs" dxfId="220" priority="12" stopIfTrue="1" operator="notEqual">
      <formula>""</formula>
    </cfRule>
  </conditionalFormatting>
  <conditionalFormatting sqref="F27">
    <cfRule type="cellIs" dxfId="219" priority="1" stopIfTrue="1" operator="notEqual">
      <formula>""</formula>
    </cfRule>
  </conditionalFormatting>
  <conditionalFormatting sqref="H20:H21 J22 R22 H23">
    <cfRule type="cellIs" dxfId="218" priority="13" stopIfTrue="1" operator="notEqual">
      <formula>""</formula>
    </cfRule>
  </conditionalFormatting>
  <conditionalFormatting sqref="J27:J28">
    <cfRule type="cellIs" dxfId="217" priority="3" stopIfTrue="1" operator="notEqual">
      <formula>""</formula>
    </cfRule>
  </conditionalFormatting>
  <conditionalFormatting sqref="L30:L31">
    <cfRule type="cellIs" dxfId="216" priority="2" stopIfTrue="1" operator="notEqual">
      <formula>""</formula>
    </cfRule>
  </conditionalFormatting>
  <conditionalFormatting sqref="T37:U40 K37:L41">
    <cfRule type="cellIs" dxfId="215" priority="10" operator="notEqual">
      <formula>""</formula>
    </cfRule>
  </conditionalFormatting>
  <conditionalFormatting sqref="X7">
    <cfRule type="expression" dxfId="214" priority="7">
      <formula>X7&lt;&gt;""</formula>
    </cfRule>
  </conditionalFormatting>
  <conditionalFormatting sqref="Z7 C17:E17 T25">
    <cfRule type="expression" dxfId="213" priority="8">
      <formula>C7&lt;&gt;""</formula>
    </cfRule>
  </conditionalFormatting>
  <conditionalFormatting sqref="AB7">
    <cfRule type="expression" dxfId="212" priority="6">
      <formula>AB7&lt;&gt;""</formula>
    </cfRule>
  </conditionalFormatting>
  <conditionalFormatting sqref="AB8 AB14 O19:U19 W19:Z19 P22 T41:U41 M50:AC50 I50:J51 L50:L51 M51:AD51">
    <cfRule type="cellIs" dxfId="211" priority="11" stopIfTrue="1" operator="notEqual">
      <formula>""</formula>
    </cfRule>
  </conditionalFormatting>
  <dataValidations count="16">
    <dataValidation type="custom" imeMode="on" allowBlank="1" showInputMessage="1" showErrorMessage="1" error="全角で入力してください。" sqref="R22:AC22" xr:uid="{00000000-0002-0000-0000-000000000000}">
      <formula1>R22=DBCS(R22)</formula1>
    </dataValidation>
    <dataValidation type="custom" imeMode="on" allowBlank="1" showInputMessage="1" showErrorMessage="1" errorTitle="商号又は名称" error="すべて全角で入力してください。" sqref="H21:AC21" xr:uid="{00000000-0002-0000-0000-000001000000}">
      <formula1>H21=DBCS(H21)</formula1>
    </dataValidation>
    <dataValidation type="custom" imeMode="hiragana" allowBlank="1" showInputMessage="1" showErrorMessage="1" errorTitle="ふりがな" error="・全角ひらがなで入力してください。" sqref="H20:AC20" xr:uid="{00000000-0002-0000-0000-000002000000}">
      <formula1>H20=DBCS(H20)</formula1>
    </dataValidation>
    <dataValidation imeMode="disabled" allowBlank="1" showInputMessage="1" showErrorMessage="1" sqref="AB7 X7 Z7 F29:O29 S29:AC29 L31:AC31" xr:uid="{00000000-0002-0000-0000-000003000000}"/>
    <dataValidation type="list" allowBlank="1" showInputMessage="1" showErrorMessage="1" sqref="C17:E17" xr:uid="{00000000-0002-0000-0000-000004000000}">
      <formula1>$AH$1:$AH$2</formula1>
    </dataValidation>
    <dataValidation imeMode="on" allowBlank="1" showInputMessage="1" showErrorMessage="1" sqref="J22:O22" xr:uid="{00000000-0002-0000-0000-000006000000}"/>
    <dataValidation type="textLength" imeMode="disabled" operator="equal" allowBlank="1" showInputMessage="1" showErrorMessage="1" error="以下を確認してください。_x000a_・郵便番号は７桁です。_x000a_・ハイフンで区切ってください。" sqref="F25:M25" xr:uid="{00000000-0002-0000-0000-000007000000}">
      <formula1>8</formula1>
    </dataValidation>
    <dataValidation imeMode="off" allowBlank="1" showInputMessage="1" showErrorMessage="1" sqref="J26" xr:uid="{00000000-0002-0000-0000-000008000000}"/>
    <dataValidation type="list" imeMode="off" allowBlank="1" showInputMessage="1" showErrorMessage="1" prompt="右のボタンを押し、リストからコードを選択してください。_x000a_ひとつおいて右のセルに大分類の名称が表示されます。_x000a_クリアする場合はBackspaceキーでクリアしてください。_x000a_" sqref="T41:U41" xr:uid="{00000000-0002-0000-0000-000009000000}">
      <formula1>#REF!</formula1>
    </dataValidation>
    <dataValidation type="list" imeMode="disabled" operator="equal" allowBlank="1" showInputMessage="1" showErrorMessage="1" error="・ハイフンは入力しないでください。_x000a_・桁数（７桁）を確認してください。" sqref="T25" xr:uid="{00000000-0002-0000-0000-00000A000000}">
      <formula1>$AH$3:$AH$33</formula1>
    </dataValidation>
    <dataValidation type="list" imeMode="off" allowBlank="1" showErrorMessage="1" prompt="右のボタンから希望する大分類コードを選択してください。_x000a_右のセルに大分類の種目名が表示されます。_x000a_" sqref="T37:U40 K37:L41" xr:uid="{00000000-0002-0000-0000-00000C000000}">
      <formula1>$AH$35:$AH$45</formula1>
    </dataValidation>
    <dataValidation type="textLength" imeMode="disabled" operator="equal" allowBlank="1" showInputMessage="1" showErrorMessage="1" errorTitle="法人番号" error="法人番号は13桁で入力してください。" sqref="H23:S23" xr:uid="{00000000-0002-0000-0000-00000E000000}">
      <formula1>13</formula1>
    </dataValidation>
    <dataValidation type="custom" imeMode="on" allowBlank="1" showInputMessage="1" showErrorMessage="1" errorTitle="住所" error="すべて全角で入力してください。" sqref="J27:AC27" xr:uid="{00000000-0002-0000-0000-00000F000000}">
      <formula1>J27=DBCS(J27)</formula1>
    </dataValidation>
    <dataValidation imeMode="on" allowBlank="1" showInputMessage="1" errorTitle="住所" error="すべて全角で入力してください。" sqref="J28:AC28" xr:uid="{00000000-0002-0000-0000-000010000000}"/>
    <dataValidation type="custom" imeMode="on" allowBlank="1" showInputMessage="1" showErrorMessage="1" error="すべて全角で入力してください。" sqref="L30:AC30" xr:uid="{314AC1A6-BE72-4C43-8AD5-43C47277CB08}">
      <formula1>L30=DBCS(L30)</formula1>
    </dataValidation>
    <dataValidation type="textLength" imeMode="on" operator="greaterThanOrEqual" allowBlank="1" showInputMessage="1" showErrorMessage="1" error="「都」「道」「府」「県」まで記入してください。_x000a_【良い例】新潟県_x000a_【悪い例】新潟" sqref="F27:I27" xr:uid="{9193793C-28A0-4B29-B83C-402414D8ECAD}">
      <formula1>3</formula1>
    </dataValidation>
  </dataValidations>
  <pageMargins left="0.78740157480314965" right="0.59055118110236227" top="0.78740157480314965" bottom="0.39370078740157483" header="0.51181102362204722" footer="0.51181102362204722"/>
  <pageSetup paperSize="9" fitToWidth="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O53"/>
  <sheetViews>
    <sheetView showGridLines="0" showZeros="0" view="pageBreakPreview" topLeftCell="A22" zoomScaleNormal="100" zoomScaleSheetLayoutView="100" workbookViewId="0">
      <selection activeCell="AQ10" sqref="AQ10"/>
    </sheetView>
  </sheetViews>
  <sheetFormatPr defaultColWidth="3" defaultRowHeight="13.5"/>
  <cols>
    <col min="1" max="1" width="3.375" style="2" customWidth="1"/>
    <col min="2" max="2" width="5.125" style="2" customWidth="1"/>
    <col min="3" max="3" width="2.875" style="2" customWidth="1"/>
    <col min="4" max="4" width="5.125" style="2" customWidth="1"/>
    <col min="5" max="5" width="2.875" style="2" customWidth="1"/>
    <col min="6" max="6" width="5.125" style="2" customWidth="1"/>
    <col min="7" max="7" width="2.875" style="2" customWidth="1"/>
    <col min="8" max="8" width="5.125" style="2" customWidth="1"/>
    <col min="9" max="9" width="3" style="2" customWidth="1"/>
    <col min="10" max="10" width="5.125" style="2" customWidth="1"/>
    <col min="11" max="19" width="3" style="2" customWidth="1"/>
    <col min="20" max="20" width="2.5" style="2" customWidth="1"/>
    <col min="21" max="23" width="3" style="2" customWidth="1"/>
    <col min="24" max="24" width="2.625" style="2" customWidth="1"/>
    <col min="25" max="25" width="2.875" style="2" customWidth="1"/>
    <col min="26" max="26" width="3.5" style="2" customWidth="1"/>
    <col min="27" max="27" width="3" style="2" customWidth="1"/>
    <col min="28" max="28" width="9.5" style="140" customWidth="1"/>
    <col min="29" max="29" width="3" style="2" customWidth="1"/>
    <col min="30" max="30" width="3.875" style="2" hidden="1" customWidth="1"/>
    <col min="31" max="32" width="3" style="2" hidden="1" customWidth="1"/>
    <col min="33" max="33" width="5.375" style="2" hidden="1" customWidth="1"/>
    <col min="34" max="36" width="3" style="2" customWidth="1"/>
    <col min="37" max="37" width="4.5" style="18" customWidth="1"/>
    <col min="38" max="40" width="3" style="18" customWidth="1"/>
    <col min="41" max="41" width="6.375" style="18" customWidth="1"/>
    <col min="42" max="16384" width="3" style="2"/>
  </cols>
  <sheetData>
    <row r="1" spans="1:41" ht="18" customHeight="1" thickBot="1">
      <c r="A1" s="1" t="s">
        <v>37</v>
      </c>
      <c r="L1" s="2" t="str">
        <f>IF(第１号様式!$H$21="","",第１号様式!$H$21)</f>
        <v/>
      </c>
    </row>
    <row r="2" spans="1:41" ht="18" customHeight="1">
      <c r="A2" s="218" t="s">
        <v>783</v>
      </c>
      <c r="B2" s="219"/>
      <c r="C2" s="219"/>
      <c r="D2" s="219"/>
      <c r="E2" s="219"/>
      <c r="F2" s="219"/>
      <c r="G2" s="219"/>
      <c r="H2" s="219"/>
      <c r="I2" s="219"/>
      <c r="J2" s="219"/>
      <c r="K2" s="219"/>
      <c r="L2" s="219"/>
      <c r="M2" s="219"/>
      <c r="N2" s="219"/>
      <c r="O2" s="219"/>
      <c r="P2" s="219"/>
      <c r="Q2" s="219"/>
      <c r="R2" s="219"/>
      <c r="S2" s="219"/>
      <c r="T2" s="219"/>
      <c r="U2" s="219"/>
      <c r="V2" s="219"/>
      <c r="W2" s="219"/>
      <c r="X2" s="219"/>
      <c r="Y2" s="219"/>
      <c r="Z2" s="220"/>
      <c r="AB2" s="2"/>
      <c r="AG2" s="18"/>
      <c r="AH2" s="18"/>
      <c r="AI2" s="18"/>
      <c r="AJ2" s="18"/>
      <c r="AL2" s="2"/>
      <c r="AM2" s="2"/>
      <c r="AN2" s="2"/>
      <c r="AO2" s="2"/>
    </row>
    <row r="3" spans="1:41" ht="18" customHeight="1">
      <c r="A3" s="213" t="s">
        <v>605</v>
      </c>
      <c r="B3" s="224"/>
      <c r="C3" s="224"/>
      <c r="D3" s="224"/>
      <c r="E3" s="224"/>
      <c r="F3" s="224"/>
      <c r="G3" s="224"/>
      <c r="H3" s="224"/>
      <c r="I3" s="224"/>
      <c r="J3" s="224"/>
      <c r="K3" s="224"/>
      <c r="L3" s="225"/>
      <c r="M3" s="366"/>
      <c r="N3" s="367"/>
      <c r="O3" s="367"/>
      <c r="P3" s="367"/>
      <c r="Q3" s="367"/>
      <c r="R3" s="367"/>
      <c r="S3" s="367"/>
      <c r="T3" s="367"/>
      <c r="U3" s="367"/>
      <c r="V3" s="367"/>
      <c r="W3" s="367"/>
      <c r="X3" s="367"/>
      <c r="Y3" s="367"/>
      <c r="Z3" s="368"/>
      <c r="AB3" s="2"/>
      <c r="AG3" s="18"/>
      <c r="AH3" s="18"/>
      <c r="AI3" s="18"/>
      <c r="AJ3" s="18"/>
      <c r="AL3" s="2"/>
      <c r="AM3" s="2"/>
      <c r="AN3" s="2"/>
      <c r="AO3" s="2"/>
    </row>
    <row r="4" spans="1:41" ht="18" customHeight="1">
      <c r="A4" s="213" t="s">
        <v>606</v>
      </c>
      <c r="B4" s="214"/>
      <c r="C4" s="214"/>
      <c r="D4" s="214"/>
      <c r="E4" s="214"/>
      <c r="F4" s="214"/>
      <c r="G4" s="214"/>
      <c r="H4" s="214"/>
      <c r="I4" s="214"/>
      <c r="J4" s="214"/>
      <c r="K4" s="214"/>
      <c r="L4" s="215"/>
      <c r="M4" s="369"/>
      <c r="N4" s="370"/>
      <c r="O4" s="370"/>
      <c r="P4" s="370"/>
      <c r="Q4" s="370"/>
      <c r="R4" s="370"/>
      <c r="S4" s="370"/>
      <c r="T4" s="370"/>
      <c r="U4" s="370"/>
      <c r="V4" s="370"/>
      <c r="W4" s="370"/>
      <c r="X4" s="61" t="s">
        <v>169</v>
      </c>
      <c r="Y4" s="62"/>
      <c r="Z4" s="63"/>
      <c r="AB4" s="2"/>
      <c r="AG4" s="18"/>
      <c r="AH4" s="18"/>
      <c r="AI4" s="18"/>
      <c r="AJ4" s="18"/>
      <c r="AL4" s="2"/>
      <c r="AM4" s="2"/>
      <c r="AN4" s="2"/>
      <c r="AO4" s="2"/>
    </row>
    <row r="5" spans="1:41" ht="18" customHeight="1" thickBot="1">
      <c r="A5" s="221" t="s">
        <v>607</v>
      </c>
      <c r="B5" s="222"/>
      <c r="C5" s="222"/>
      <c r="D5" s="222"/>
      <c r="E5" s="222"/>
      <c r="F5" s="222"/>
      <c r="G5" s="222"/>
      <c r="H5" s="222"/>
      <c r="I5" s="222"/>
      <c r="J5" s="222"/>
      <c r="K5" s="222"/>
      <c r="L5" s="223"/>
      <c r="M5" s="358"/>
      <c r="N5" s="359"/>
      <c r="O5" s="359"/>
      <c r="P5" s="359"/>
      <c r="Q5" s="359"/>
      <c r="R5" s="359"/>
      <c r="S5" s="359"/>
      <c r="T5" s="359"/>
      <c r="U5" s="359"/>
      <c r="V5" s="359"/>
      <c r="W5" s="359"/>
      <c r="X5" s="46" t="s">
        <v>169</v>
      </c>
      <c r="Y5" s="64"/>
      <c r="Z5" s="65"/>
      <c r="AB5" s="2"/>
      <c r="AG5" s="18"/>
      <c r="AH5" s="18"/>
      <c r="AI5" s="18"/>
      <c r="AJ5" s="18"/>
      <c r="AL5" s="2"/>
      <c r="AM5" s="2"/>
      <c r="AN5" s="2"/>
      <c r="AO5" s="2"/>
    </row>
    <row r="6" spans="1:41">
      <c r="A6" s="360" t="s">
        <v>784</v>
      </c>
      <c r="B6" s="361"/>
      <c r="C6" s="361"/>
      <c r="D6" s="361"/>
      <c r="E6" s="361"/>
      <c r="F6" s="361"/>
      <c r="G6" s="361"/>
      <c r="H6" s="361"/>
      <c r="I6" s="361"/>
      <c r="J6" s="361"/>
      <c r="K6" s="361"/>
      <c r="L6" s="361"/>
      <c r="M6" s="361"/>
      <c r="N6" s="361"/>
      <c r="O6" s="361"/>
      <c r="P6" s="361"/>
      <c r="Q6" s="361"/>
      <c r="R6" s="361"/>
      <c r="S6" s="361"/>
      <c r="T6" s="361"/>
      <c r="U6" s="361"/>
      <c r="V6" s="361"/>
      <c r="W6" s="361"/>
      <c r="X6" s="361"/>
      <c r="Y6" s="361"/>
      <c r="Z6" s="362"/>
      <c r="AA6" s="66"/>
    </row>
    <row r="7" spans="1:41">
      <c r="A7" s="363"/>
      <c r="B7" s="364"/>
      <c r="C7" s="364"/>
      <c r="D7" s="364"/>
      <c r="E7" s="364"/>
      <c r="F7" s="364"/>
      <c r="G7" s="364"/>
      <c r="H7" s="364"/>
      <c r="I7" s="364"/>
      <c r="J7" s="364"/>
      <c r="K7" s="364"/>
      <c r="L7" s="364"/>
      <c r="M7" s="364"/>
      <c r="N7" s="364"/>
      <c r="O7" s="364"/>
      <c r="P7" s="364"/>
      <c r="Q7" s="364"/>
      <c r="R7" s="364"/>
      <c r="S7" s="364"/>
      <c r="T7" s="364"/>
      <c r="U7" s="364"/>
      <c r="V7" s="364"/>
      <c r="W7" s="364"/>
      <c r="X7" s="364"/>
      <c r="Y7" s="364"/>
      <c r="Z7" s="365"/>
      <c r="AA7" s="66"/>
      <c r="AB7" s="139" t="s">
        <v>613</v>
      </c>
    </row>
    <row r="8" spans="1:41" ht="4.5" customHeight="1">
      <c r="A8" s="67"/>
      <c r="B8" s="68"/>
      <c r="C8" s="68"/>
      <c r="D8" s="68"/>
      <c r="E8" s="68"/>
      <c r="F8" s="68"/>
      <c r="G8" s="68"/>
      <c r="H8" s="68"/>
      <c r="I8" s="68"/>
      <c r="J8" s="69"/>
      <c r="K8" s="69"/>
      <c r="L8" s="69"/>
      <c r="M8" s="69"/>
      <c r="N8" s="69"/>
      <c r="O8" s="69"/>
      <c r="P8" s="69"/>
      <c r="Q8" s="69"/>
      <c r="R8" s="69"/>
      <c r="S8" s="69"/>
      <c r="T8" s="69"/>
      <c r="U8" s="69"/>
      <c r="V8" s="69"/>
      <c r="W8" s="69"/>
      <c r="X8" s="69"/>
      <c r="Y8" s="69"/>
      <c r="Z8" s="70"/>
    </row>
    <row r="9" spans="1:41">
      <c r="A9" s="38"/>
      <c r="B9" s="373"/>
      <c r="C9" s="373"/>
      <c r="D9" s="373"/>
      <c r="E9" s="71"/>
      <c r="F9" s="378"/>
      <c r="G9" s="378"/>
      <c r="H9" s="379" t="s">
        <v>173</v>
      </c>
      <c r="I9" s="378"/>
      <c r="J9" s="378"/>
      <c r="K9" s="326" t="s">
        <v>162</v>
      </c>
      <c r="L9" s="378"/>
      <c r="M9" s="378"/>
      <c r="N9" s="326" t="s">
        <v>163</v>
      </c>
      <c r="O9" s="4"/>
      <c r="U9" s="72"/>
      <c r="V9" s="72"/>
      <c r="W9" s="72"/>
      <c r="X9" s="72"/>
      <c r="Y9" s="72"/>
      <c r="Z9" s="39"/>
      <c r="AB9" s="139" t="str">
        <f>IF(F9="","",AD9&amp;TEXT((DATE(F9,I9,L9)),"yymmdd"))</f>
        <v/>
      </c>
      <c r="AD9" s="73" t="str">
        <f>IF(B9="","",VLOOKUP(B9,$AE$9:$AF$13,2,FALSE))</f>
        <v/>
      </c>
      <c r="AE9" t="s">
        <v>578</v>
      </c>
      <c r="AF9" t="s">
        <v>579</v>
      </c>
      <c r="AI9" s="74"/>
      <c r="AJ9" s="74"/>
      <c r="AK9" s="74"/>
      <c r="AL9" s="74"/>
    </row>
    <row r="10" spans="1:41" ht="15.75" customHeight="1">
      <c r="A10" s="40"/>
      <c r="B10" s="373"/>
      <c r="C10" s="373"/>
      <c r="D10" s="373"/>
      <c r="E10" s="71"/>
      <c r="F10" s="378"/>
      <c r="G10" s="378"/>
      <c r="H10" s="379"/>
      <c r="I10" s="378"/>
      <c r="J10" s="378"/>
      <c r="K10" s="326"/>
      <c r="L10" s="378"/>
      <c r="M10" s="378"/>
      <c r="N10" s="326"/>
      <c r="O10" s="4"/>
      <c r="U10" s="72"/>
      <c r="V10" s="72"/>
      <c r="W10" s="72"/>
      <c r="X10" s="72"/>
      <c r="Y10" s="72"/>
      <c r="Z10" s="39"/>
      <c r="AE10" t="s">
        <v>580</v>
      </c>
      <c r="AF10" t="s">
        <v>581</v>
      </c>
    </row>
    <row r="11" spans="1:41" ht="4.5" customHeight="1" thickBot="1">
      <c r="A11" s="75"/>
      <c r="B11" s="76"/>
      <c r="C11" s="76"/>
      <c r="D11" s="76"/>
      <c r="E11" s="76"/>
      <c r="F11" s="76"/>
      <c r="G11" s="76"/>
      <c r="H11" s="76"/>
      <c r="I11" s="76"/>
      <c r="J11" s="77"/>
      <c r="K11" s="78"/>
      <c r="L11" s="78"/>
      <c r="M11" s="78"/>
      <c r="N11" s="78"/>
      <c r="O11" s="78"/>
      <c r="P11" s="78"/>
      <c r="Q11" s="78"/>
      <c r="R11" s="78"/>
      <c r="S11" s="78"/>
      <c r="T11" s="78"/>
      <c r="U11" s="78"/>
      <c r="V11" s="78"/>
      <c r="W11" s="78"/>
      <c r="X11" s="78"/>
      <c r="Y11" s="78"/>
      <c r="Z11" s="79"/>
      <c r="AE11" t="s">
        <v>582</v>
      </c>
      <c r="AF11" t="s">
        <v>583</v>
      </c>
    </row>
    <row r="12" spans="1:41">
      <c r="A12" s="360" t="s">
        <v>785</v>
      </c>
      <c r="B12" s="361"/>
      <c r="C12" s="361"/>
      <c r="D12" s="361"/>
      <c r="E12" s="361"/>
      <c r="F12" s="361"/>
      <c r="G12" s="361"/>
      <c r="H12" s="361"/>
      <c r="I12" s="361"/>
      <c r="J12" s="361"/>
      <c r="K12" s="361"/>
      <c r="L12" s="361"/>
      <c r="M12" s="361"/>
      <c r="N12" s="361"/>
      <c r="O12" s="361"/>
      <c r="P12" s="361"/>
      <c r="Q12" s="361"/>
      <c r="R12" s="361"/>
      <c r="S12" s="361"/>
      <c r="T12" s="361"/>
      <c r="U12" s="361"/>
      <c r="V12" s="361"/>
      <c r="W12" s="361"/>
      <c r="X12" s="361"/>
      <c r="Y12" s="361"/>
      <c r="Z12" s="362"/>
      <c r="AA12" s="66"/>
      <c r="AB12" s="141"/>
      <c r="AE12" t="s">
        <v>584</v>
      </c>
      <c r="AF12" t="s">
        <v>585</v>
      </c>
    </row>
    <row r="13" spans="1:41">
      <c r="A13" s="363"/>
      <c r="B13" s="364"/>
      <c r="C13" s="364"/>
      <c r="D13" s="364"/>
      <c r="E13" s="364"/>
      <c r="F13" s="364"/>
      <c r="G13" s="364"/>
      <c r="H13" s="364"/>
      <c r="I13" s="364"/>
      <c r="J13" s="364"/>
      <c r="K13" s="364"/>
      <c r="L13" s="364"/>
      <c r="M13" s="364"/>
      <c r="N13" s="364"/>
      <c r="O13" s="364"/>
      <c r="P13" s="364"/>
      <c r="Q13" s="364"/>
      <c r="R13" s="364"/>
      <c r="S13" s="364"/>
      <c r="T13" s="364"/>
      <c r="U13" s="364"/>
      <c r="V13" s="364"/>
      <c r="W13" s="364"/>
      <c r="X13" s="364"/>
      <c r="Y13" s="364"/>
      <c r="Z13" s="365"/>
      <c r="AA13" s="66"/>
      <c r="AB13" s="141"/>
      <c r="AE13" t="s">
        <v>586</v>
      </c>
      <c r="AF13" t="s">
        <v>587</v>
      </c>
    </row>
    <row r="14" spans="1:41" ht="20.100000000000001" customHeight="1">
      <c r="A14" s="412" t="s">
        <v>39</v>
      </c>
      <c r="B14" s="413"/>
      <c r="C14" s="413"/>
      <c r="D14" s="413"/>
      <c r="E14" s="413"/>
      <c r="F14" s="413"/>
      <c r="G14" s="413"/>
      <c r="H14" s="414"/>
      <c r="I14" s="415" t="s">
        <v>60</v>
      </c>
      <c r="J14" s="416"/>
      <c r="K14" s="416"/>
      <c r="L14" s="416"/>
      <c r="M14" s="416"/>
      <c r="N14" s="416"/>
      <c r="O14" s="416"/>
      <c r="P14" s="417"/>
      <c r="Q14" s="421" t="s">
        <v>61</v>
      </c>
      <c r="R14" s="413"/>
      <c r="S14" s="413"/>
      <c r="T14" s="413"/>
      <c r="U14" s="413"/>
      <c r="V14" s="413"/>
      <c r="W14" s="413"/>
      <c r="X14" s="413"/>
      <c r="Y14" s="413"/>
      <c r="Z14" s="422"/>
    </row>
    <row r="15" spans="1:41" ht="20.100000000000001" customHeight="1">
      <c r="A15" s="297"/>
      <c r="B15" s="298"/>
      <c r="C15" s="298"/>
      <c r="D15" s="298"/>
      <c r="E15" s="298"/>
      <c r="F15" s="298"/>
      <c r="G15" s="298"/>
      <c r="H15" s="299"/>
      <c r="I15" s="418" t="s">
        <v>59</v>
      </c>
      <c r="J15" s="419"/>
      <c r="K15" s="419"/>
      <c r="L15" s="419"/>
      <c r="M15" s="419"/>
      <c r="N15" s="419"/>
      <c r="O15" s="419"/>
      <c r="P15" s="420"/>
      <c r="Q15" s="311"/>
      <c r="R15" s="298"/>
      <c r="S15" s="298"/>
      <c r="T15" s="298"/>
      <c r="U15" s="298"/>
      <c r="V15" s="298"/>
      <c r="W15" s="298"/>
      <c r="X15" s="298"/>
      <c r="Y15" s="298"/>
      <c r="Z15" s="423"/>
      <c r="AB15" s="139" t="s">
        <v>613</v>
      </c>
      <c r="AD15" s="31" t="s">
        <v>558</v>
      </c>
      <c r="AN15" s="17"/>
    </row>
    <row r="16" spans="1:41" ht="20.100000000000001" customHeight="1">
      <c r="A16" s="396"/>
      <c r="B16" s="397"/>
      <c r="C16" s="397"/>
      <c r="D16" s="397"/>
      <c r="E16" s="397"/>
      <c r="F16" s="397"/>
      <c r="G16" s="397"/>
      <c r="H16" s="398"/>
      <c r="I16" s="371"/>
      <c r="J16" s="372"/>
      <c r="K16" s="24"/>
      <c r="L16" s="80" t="s">
        <v>173</v>
      </c>
      <c r="M16" s="24"/>
      <c r="N16" s="80" t="s">
        <v>594</v>
      </c>
      <c r="O16" s="24"/>
      <c r="P16" s="81" t="s">
        <v>163</v>
      </c>
      <c r="Q16" s="374"/>
      <c r="R16" s="375"/>
      <c r="S16" s="375"/>
      <c r="T16" s="375"/>
      <c r="U16" s="375"/>
      <c r="V16" s="375"/>
      <c r="W16" s="375"/>
      <c r="X16" s="375"/>
      <c r="Y16" s="375"/>
      <c r="Z16" s="376"/>
      <c r="AB16" s="139" t="str">
        <f t="shared" ref="AB16:AB27" si="0">IF(K16="","",AD16&amp;TEXT((DATE(K16,M16,O16)),"yymmdd"))</f>
        <v/>
      </c>
      <c r="AC16" s="82"/>
      <c r="AD16" s="31" t="s">
        <v>559</v>
      </c>
      <c r="AE16" s="82"/>
      <c r="AF16" s="82"/>
      <c r="AG16" s="82"/>
      <c r="AH16" s="82"/>
      <c r="AI16" s="82"/>
      <c r="AJ16" s="82"/>
      <c r="AK16" s="82"/>
      <c r="AL16" s="82"/>
      <c r="AN16" s="17"/>
      <c r="AO16" s="17"/>
    </row>
    <row r="17" spans="1:41" ht="20.100000000000001" customHeight="1">
      <c r="A17" s="399"/>
      <c r="B17" s="400"/>
      <c r="C17" s="400"/>
      <c r="D17" s="400"/>
      <c r="E17" s="400"/>
      <c r="F17" s="400"/>
      <c r="G17" s="400"/>
      <c r="H17" s="401"/>
      <c r="I17" s="402"/>
      <c r="J17" s="403"/>
      <c r="K17" s="25"/>
      <c r="L17" s="83" t="s">
        <v>173</v>
      </c>
      <c r="M17" s="25"/>
      <c r="N17" s="83" t="s">
        <v>594</v>
      </c>
      <c r="O17" s="25"/>
      <c r="P17" s="84" t="s">
        <v>163</v>
      </c>
      <c r="Q17" s="377"/>
      <c r="R17" s="278"/>
      <c r="S17" s="278"/>
      <c r="T17" s="278"/>
      <c r="U17" s="278"/>
      <c r="V17" s="278"/>
      <c r="W17" s="278"/>
      <c r="X17" s="278"/>
      <c r="Y17" s="278"/>
      <c r="Z17" s="279"/>
      <c r="AB17" s="139" t="str">
        <f t="shared" si="0"/>
        <v/>
      </c>
      <c r="AC17" s="82"/>
      <c r="AD17" s="31" t="s">
        <v>560</v>
      </c>
      <c r="AE17" s="82"/>
      <c r="AF17" s="82"/>
      <c r="AG17" s="82"/>
      <c r="AH17" s="82"/>
      <c r="AI17" s="82"/>
      <c r="AJ17" s="82"/>
      <c r="AK17" s="82"/>
      <c r="AL17" s="82"/>
      <c r="AN17" s="17"/>
      <c r="AO17" s="17"/>
    </row>
    <row r="18" spans="1:41" ht="20.100000000000001" customHeight="1">
      <c r="A18" s="396"/>
      <c r="B18" s="397"/>
      <c r="C18" s="397"/>
      <c r="D18" s="397"/>
      <c r="E18" s="397"/>
      <c r="F18" s="397"/>
      <c r="G18" s="397"/>
      <c r="H18" s="398"/>
      <c r="I18" s="371"/>
      <c r="J18" s="372"/>
      <c r="K18" s="24"/>
      <c r="L18" s="80" t="s">
        <v>173</v>
      </c>
      <c r="M18" s="24"/>
      <c r="N18" s="80" t="s">
        <v>594</v>
      </c>
      <c r="O18" s="24"/>
      <c r="P18" s="81" t="s">
        <v>163</v>
      </c>
      <c r="Q18" s="374"/>
      <c r="R18" s="375"/>
      <c r="S18" s="375"/>
      <c r="T18" s="375"/>
      <c r="U18" s="375"/>
      <c r="V18" s="375"/>
      <c r="W18" s="375"/>
      <c r="X18" s="375"/>
      <c r="Y18" s="375"/>
      <c r="Z18" s="376"/>
      <c r="AB18" s="139" t="str">
        <f t="shared" si="0"/>
        <v/>
      </c>
      <c r="AC18" s="85"/>
      <c r="AD18" s="31" t="s">
        <v>561</v>
      </c>
      <c r="AE18" s="85"/>
      <c r="AF18" s="85"/>
      <c r="AG18" s="85"/>
      <c r="AH18" s="85"/>
      <c r="AI18" s="85"/>
      <c r="AJ18" s="85"/>
      <c r="AK18" s="85"/>
      <c r="AL18" s="85"/>
      <c r="AN18" s="17"/>
      <c r="AO18" s="17"/>
    </row>
    <row r="19" spans="1:41" ht="20.100000000000001" customHeight="1">
      <c r="A19" s="399"/>
      <c r="B19" s="400"/>
      <c r="C19" s="400"/>
      <c r="D19" s="400"/>
      <c r="E19" s="400"/>
      <c r="F19" s="400"/>
      <c r="G19" s="400"/>
      <c r="H19" s="401"/>
      <c r="I19" s="402"/>
      <c r="J19" s="403"/>
      <c r="K19" s="25"/>
      <c r="L19" s="83" t="s">
        <v>173</v>
      </c>
      <c r="M19" s="25"/>
      <c r="N19" s="83" t="s">
        <v>594</v>
      </c>
      <c r="O19" s="25"/>
      <c r="P19" s="84" t="s">
        <v>163</v>
      </c>
      <c r="Q19" s="377"/>
      <c r="R19" s="278"/>
      <c r="S19" s="278"/>
      <c r="T19" s="278"/>
      <c r="U19" s="278"/>
      <c r="V19" s="278"/>
      <c r="W19" s="278"/>
      <c r="X19" s="278"/>
      <c r="Y19" s="278"/>
      <c r="Z19" s="279"/>
      <c r="AB19" s="139" t="str">
        <f t="shared" si="0"/>
        <v/>
      </c>
      <c r="AC19" s="85"/>
      <c r="AD19" s="31" t="s">
        <v>562</v>
      </c>
      <c r="AE19" s="85"/>
      <c r="AF19" s="85"/>
      <c r="AG19" s="85"/>
      <c r="AH19" s="85"/>
      <c r="AI19" s="85"/>
      <c r="AJ19" s="85"/>
      <c r="AK19" s="85"/>
      <c r="AL19" s="85"/>
      <c r="AN19" s="17"/>
      <c r="AO19" s="17"/>
    </row>
    <row r="20" spans="1:41" ht="20.100000000000001" customHeight="1">
      <c r="A20" s="396"/>
      <c r="B20" s="397"/>
      <c r="C20" s="397"/>
      <c r="D20" s="397"/>
      <c r="E20" s="397"/>
      <c r="F20" s="397"/>
      <c r="G20" s="397"/>
      <c r="H20" s="398"/>
      <c r="I20" s="371"/>
      <c r="J20" s="372"/>
      <c r="K20" s="24"/>
      <c r="L20" s="80" t="s">
        <v>592</v>
      </c>
      <c r="M20" s="24"/>
      <c r="N20" s="80" t="s">
        <v>594</v>
      </c>
      <c r="O20" s="24"/>
      <c r="P20" s="81" t="s">
        <v>593</v>
      </c>
      <c r="Q20" s="374"/>
      <c r="R20" s="375"/>
      <c r="S20" s="375"/>
      <c r="T20" s="375"/>
      <c r="U20" s="375"/>
      <c r="V20" s="375"/>
      <c r="W20" s="375"/>
      <c r="X20" s="375"/>
      <c r="Y20" s="375"/>
      <c r="Z20" s="376"/>
      <c r="AB20" s="139" t="str">
        <f t="shared" si="0"/>
        <v/>
      </c>
      <c r="AC20" s="85"/>
      <c r="AD20" s="31" t="s">
        <v>563</v>
      </c>
      <c r="AE20" s="85"/>
      <c r="AF20" s="85"/>
      <c r="AG20" s="85"/>
      <c r="AH20" s="85"/>
      <c r="AI20" s="85"/>
      <c r="AJ20" s="85"/>
      <c r="AK20" s="85"/>
      <c r="AL20" s="85"/>
      <c r="AN20" s="17"/>
      <c r="AO20" s="17"/>
    </row>
    <row r="21" spans="1:41" ht="20.100000000000001" customHeight="1">
      <c r="A21" s="399"/>
      <c r="B21" s="400"/>
      <c r="C21" s="400"/>
      <c r="D21" s="400"/>
      <c r="E21" s="400"/>
      <c r="F21" s="400"/>
      <c r="G21" s="400"/>
      <c r="H21" s="401"/>
      <c r="I21" s="402"/>
      <c r="J21" s="403"/>
      <c r="K21" s="25"/>
      <c r="L21" s="83" t="s">
        <v>592</v>
      </c>
      <c r="M21" s="25"/>
      <c r="N21" s="83" t="s">
        <v>594</v>
      </c>
      <c r="O21" s="25"/>
      <c r="P21" s="84" t="s">
        <v>593</v>
      </c>
      <c r="Q21" s="377"/>
      <c r="R21" s="278"/>
      <c r="S21" s="278"/>
      <c r="T21" s="278"/>
      <c r="U21" s="278"/>
      <c r="V21" s="278"/>
      <c r="W21" s="278"/>
      <c r="X21" s="278"/>
      <c r="Y21" s="278"/>
      <c r="Z21" s="279"/>
      <c r="AB21" s="139" t="str">
        <f t="shared" si="0"/>
        <v/>
      </c>
      <c r="AC21" s="85"/>
      <c r="AD21" s="31" t="s">
        <v>564</v>
      </c>
      <c r="AE21" s="85"/>
      <c r="AF21" s="85"/>
      <c r="AG21" s="85"/>
      <c r="AH21" s="85"/>
      <c r="AI21" s="85"/>
      <c r="AJ21" s="85"/>
      <c r="AK21" s="85"/>
      <c r="AL21" s="85"/>
      <c r="AN21" s="17"/>
      <c r="AO21" s="17"/>
    </row>
    <row r="22" spans="1:41" ht="20.100000000000001" customHeight="1">
      <c r="A22" s="396"/>
      <c r="B22" s="397"/>
      <c r="C22" s="397"/>
      <c r="D22" s="397"/>
      <c r="E22" s="397"/>
      <c r="F22" s="397"/>
      <c r="G22" s="397"/>
      <c r="H22" s="398"/>
      <c r="I22" s="371"/>
      <c r="J22" s="372"/>
      <c r="K22" s="24"/>
      <c r="L22" s="80" t="s">
        <v>592</v>
      </c>
      <c r="M22" s="24"/>
      <c r="N22" s="80" t="s">
        <v>594</v>
      </c>
      <c r="O22" s="24"/>
      <c r="P22" s="81" t="s">
        <v>593</v>
      </c>
      <c r="Q22" s="374"/>
      <c r="R22" s="375"/>
      <c r="S22" s="375"/>
      <c r="T22" s="375"/>
      <c r="U22" s="375"/>
      <c r="V22" s="375"/>
      <c r="W22" s="375"/>
      <c r="X22" s="375"/>
      <c r="Y22" s="375"/>
      <c r="Z22" s="376"/>
      <c r="AB22" s="139" t="str">
        <f t="shared" si="0"/>
        <v/>
      </c>
      <c r="AC22" s="85"/>
      <c r="AD22" s="73" t="str">
        <f t="shared" ref="AD22:AD27" si="1">IF(I22="","",VLOOKUP(I22,$AE$9:$AF$13,2,FALSE))</f>
        <v/>
      </c>
      <c r="AE22" s="85"/>
      <c r="AF22" s="85"/>
      <c r="AG22" s="85"/>
      <c r="AH22" s="85"/>
      <c r="AI22" s="85"/>
      <c r="AJ22" s="85"/>
      <c r="AK22" s="85"/>
      <c r="AL22" s="85"/>
      <c r="AN22" s="17"/>
      <c r="AO22" s="17"/>
    </row>
    <row r="23" spans="1:41" ht="20.100000000000001" customHeight="1">
      <c r="A23" s="399"/>
      <c r="B23" s="400"/>
      <c r="C23" s="400"/>
      <c r="D23" s="400"/>
      <c r="E23" s="400"/>
      <c r="F23" s="400"/>
      <c r="G23" s="400"/>
      <c r="H23" s="401"/>
      <c r="I23" s="402"/>
      <c r="J23" s="403"/>
      <c r="K23" s="25"/>
      <c r="L23" s="83" t="s">
        <v>592</v>
      </c>
      <c r="M23" s="25"/>
      <c r="N23" s="83" t="s">
        <v>594</v>
      </c>
      <c r="O23" s="25"/>
      <c r="P23" s="84" t="s">
        <v>593</v>
      </c>
      <c r="Q23" s="377"/>
      <c r="R23" s="278"/>
      <c r="S23" s="278"/>
      <c r="T23" s="278"/>
      <c r="U23" s="278"/>
      <c r="V23" s="278"/>
      <c r="W23" s="278"/>
      <c r="X23" s="278"/>
      <c r="Y23" s="278"/>
      <c r="Z23" s="279"/>
      <c r="AB23" s="139" t="str">
        <f t="shared" si="0"/>
        <v/>
      </c>
      <c r="AC23" s="85"/>
      <c r="AD23" s="73" t="str">
        <f t="shared" si="1"/>
        <v/>
      </c>
      <c r="AE23" s="85"/>
      <c r="AF23" s="85"/>
      <c r="AG23" s="85"/>
      <c r="AH23" s="85"/>
      <c r="AI23" s="85"/>
      <c r="AJ23" s="85"/>
      <c r="AK23" s="85"/>
      <c r="AL23" s="85"/>
      <c r="AN23" s="17"/>
      <c r="AO23" s="17"/>
    </row>
    <row r="24" spans="1:41" ht="20.100000000000001" customHeight="1">
      <c r="A24" s="396"/>
      <c r="B24" s="397"/>
      <c r="C24" s="397"/>
      <c r="D24" s="397"/>
      <c r="E24" s="397"/>
      <c r="F24" s="397"/>
      <c r="G24" s="397"/>
      <c r="H24" s="398"/>
      <c r="I24" s="371"/>
      <c r="J24" s="372"/>
      <c r="K24" s="24"/>
      <c r="L24" s="80" t="s">
        <v>592</v>
      </c>
      <c r="M24" s="24"/>
      <c r="N24" s="80" t="s">
        <v>594</v>
      </c>
      <c r="O24" s="24"/>
      <c r="P24" s="81" t="s">
        <v>593</v>
      </c>
      <c r="Q24" s="374"/>
      <c r="R24" s="375"/>
      <c r="S24" s="375"/>
      <c r="T24" s="375"/>
      <c r="U24" s="375"/>
      <c r="V24" s="375"/>
      <c r="W24" s="375"/>
      <c r="X24" s="375"/>
      <c r="Y24" s="375"/>
      <c r="Z24" s="376"/>
      <c r="AB24" s="139" t="str">
        <f t="shared" si="0"/>
        <v/>
      </c>
      <c r="AC24" s="85"/>
      <c r="AD24" s="73" t="str">
        <f t="shared" si="1"/>
        <v/>
      </c>
      <c r="AE24" s="85"/>
      <c r="AF24" s="85"/>
      <c r="AG24" s="85"/>
      <c r="AH24" s="85"/>
      <c r="AI24" s="85"/>
      <c r="AJ24" s="85"/>
      <c r="AK24" s="85"/>
      <c r="AL24" s="85"/>
      <c r="AN24" s="17"/>
      <c r="AO24" s="17"/>
    </row>
    <row r="25" spans="1:41" ht="20.100000000000001" customHeight="1">
      <c r="A25" s="399"/>
      <c r="B25" s="400"/>
      <c r="C25" s="400"/>
      <c r="D25" s="400"/>
      <c r="E25" s="400"/>
      <c r="F25" s="400"/>
      <c r="G25" s="400"/>
      <c r="H25" s="401"/>
      <c r="I25" s="402"/>
      <c r="J25" s="403"/>
      <c r="K25" s="25"/>
      <c r="L25" s="83" t="s">
        <v>592</v>
      </c>
      <c r="M25" s="25"/>
      <c r="N25" s="83" t="s">
        <v>594</v>
      </c>
      <c r="O25" s="25"/>
      <c r="P25" s="84" t="s">
        <v>593</v>
      </c>
      <c r="Q25" s="377"/>
      <c r="R25" s="278"/>
      <c r="S25" s="278"/>
      <c r="T25" s="278"/>
      <c r="U25" s="278"/>
      <c r="V25" s="278"/>
      <c r="W25" s="278"/>
      <c r="X25" s="278"/>
      <c r="Y25" s="278"/>
      <c r="Z25" s="279"/>
      <c r="AB25" s="139" t="str">
        <f t="shared" si="0"/>
        <v/>
      </c>
      <c r="AC25" s="85"/>
      <c r="AD25" s="73" t="str">
        <f t="shared" si="1"/>
        <v/>
      </c>
      <c r="AE25" s="85"/>
      <c r="AF25" s="85"/>
      <c r="AG25" s="85"/>
      <c r="AH25" s="85"/>
      <c r="AI25" s="85"/>
      <c r="AJ25" s="85"/>
      <c r="AK25" s="85"/>
      <c r="AL25" s="85"/>
      <c r="AN25" s="17"/>
      <c r="AO25" s="17"/>
    </row>
    <row r="26" spans="1:41" ht="20.100000000000001" customHeight="1">
      <c r="A26" s="396"/>
      <c r="B26" s="397"/>
      <c r="C26" s="397"/>
      <c r="D26" s="397"/>
      <c r="E26" s="397"/>
      <c r="F26" s="397"/>
      <c r="G26" s="397"/>
      <c r="H26" s="398"/>
      <c r="I26" s="371"/>
      <c r="J26" s="372"/>
      <c r="K26" s="24"/>
      <c r="L26" s="80" t="s">
        <v>592</v>
      </c>
      <c r="M26" s="24"/>
      <c r="N26" s="80" t="s">
        <v>594</v>
      </c>
      <c r="O26" s="24"/>
      <c r="P26" s="81" t="s">
        <v>593</v>
      </c>
      <c r="Q26" s="374"/>
      <c r="R26" s="375"/>
      <c r="S26" s="375"/>
      <c r="T26" s="375"/>
      <c r="U26" s="375"/>
      <c r="V26" s="375"/>
      <c r="W26" s="375"/>
      <c r="X26" s="375"/>
      <c r="Y26" s="375"/>
      <c r="Z26" s="376"/>
      <c r="AB26" s="139" t="str">
        <f t="shared" si="0"/>
        <v/>
      </c>
      <c r="AC26" s="85"/>
      <c r="AD26" s="73" t="str">
        <f t="shared" si="1"/>
        <v/>
      </c>
      <c r="AE26" s="85"/>
      <c r="AF26" s="85"/>
      <c r="AG26" s="85"/>
      <c r="AH26" s="85"/>
      <c r="AI26" s="85"/>
      <c r="AJ26" s="85"/>
      <c r="AK26" s="85"/>
      <c r="AL26" s="85"/>
      <c r="AN26" s="17"/>
      <c r="AO26" s="17"/>
    </row>
    <row r="27" spans="1:41" ht="20.100000000000001" customHeight="1">
      <c r="A27" s="399"/>
      <c r="B27" s="400"/>
      <c r="C27" s="400"/>
      <c r="D27" s="400"/>
      <c r="E27" s="400"/>
      <c r="F27" s="400"/>
      <c r="G27" s="400"/>
      <c r="H27" s="401"/>
      <c r="I27" s="402"/>
      <c r="J27" s="403"/>
      <c r="K27" s="25"/>
      <c r="L27" s="83" t="s">
        <v>592</v>
      </c>
      <c r="M27" s="25"/>
      <c r="N27" s="83" t="s">
        <v>594</v>
      </c>
      <c r="O27" s="25"/>
      <c r="P27" s="84" t="s">
        <v>593</v>
      </c>
      <c r="Q27" s="377"/>
      <c r="R27" s="278"/>
      <c r="S27" s="278"/>
      <c r="T27" s="278"/>
      <c r="U27" s="278"/>
      <c r="V27" s="278"/>
      <c r="W27" s="278"/>
      <c r="X27" s="278"/>
      <c r="Y27" s="278"/>
      <c r="Z27" s="279"/>
      <c r="AB27" s="139" t="str">
        <f t="shared" si="0"/>
        <v/>
      </c>
      <c r="AC27" s="85"/>
      <c r="AD27" s="73" t="str">
        <f t="shared" si="1"/>
        <v/>
      </c>
      <c r="AE27" s="85"/>
      <c r="AF27" s="85"/>
      <c r="AG27" s="85"/>
      <c r="AH27" s="85"/>
      <c r="AI27" s="85"/>
      <c r="AJ27" s="85"/>
      <c r="AK27" s="85"/>
      <c r="AL27" s="85"/>
      <c r="AO27" s="17"/>
    </row>
    <row r="28" spans="1:41" ht="8.25" customHeight="1">
      <c r="A28" s="86"/>
      <c r="B28" s="42"/>
      <c r="C28" s="42"/>
      <c r="D28" s="42"/>
      <c r="E28" s="42"/>
      <c r="F28" s="42"/>
      <c r="G28" s="42"/>
      <c r="H28" s="42"/>
      <c r="I28" s="42"/>
      <c r="J28" s="42"/>
      <c r="K28" s="42"/>
      <c r="L28" s="42"/>
      <c r="M28" s="42"/>
      <c r="N28" s="42"/>
      <c r="O28" s="42"/>
      <c r="P28" s="42"/>
      <c r="Q28" s="42"/>
      <c r="R28" s="42"/>
      <c r="S28" s="42"/>
      <c r="T28" s="42"/>
      <c r="U28" s="42"/>
      <c r="V28" s="42"/>
      <c r="W28" s="42"/>
      <c r="X28" s="42"/>
      <c r="Y28" s="42"/>
      <c r="Z28" s="44"/>
      <c r="AC28" s="60"/>
      <c r="AD28" s="60"/>
      <c r="AE28" s="60"/>
      <c r="AF28" s="60"/>
      <c r="AG28" s="60"/>
      <c r="AH28" s="60"/>
      <c r="AI28" s="60"/>
      <c r="AJ28" s="60"/>
    </row>
    <row r="29" spans="1:41" ht="15" customHeight="1">
      <c r="A29" s="242" t="s">
        <v>4</v>
      </c>
      <c r="B29" s="243"/>
      <c r="C29" s="20" t="s">
        <v>609</v>
      </c>
      <c r="D29" s="4"/>
      <c r="E29" s="4"/>
      <c r="F29" s="4"/>
      <c r="G29" s="4"/>
      <c r="H29" s="4"/>
      <c r="I29" s="4"/>
      <c r="J29" s="4"/>
      <c r="K29" s="4"/>
      <c r="L29" s="4"/>
      <c r="M29" s="4"/>
      <c r="N29" s="4"/>
      <c r="O29" s="4"/>
      <c r="P29" s="4"/>
      <c r="Q29" s="4"/>
      <c r="R29" s="4"/>
      <c r="S29" s="4"/>
      <c r="T29" s="4"/>
      <c r="U29" s="4"/>
      <c r="V29" s="4"/>
      <c r="W29" s="4"/>
      <c r="X29" s="4"/>
      <c r="Y29" s="4"/>
      <c r="Z29" s="37"/>
      <c r="AC29" s="60"/>
      <c r="AD29" s="60"/>
      <c r="AE29" s="60"/>
      <c r="AF29" s="60"/>
      <c r="AG29" s="60"/>
      <c r="AH29" s="60"/>
      <c r="AI29" s="60"/>
      <c r="AJ29" s="60"/>
    </row>
    <row r="30" spans="1:41" ht="3" customHeight="1">
      <c r="A30" s="48"/>
      <c r="B30" s="49"/>
      <c r="C30" s="20"/>
      <c r="D30" s="4"/>
      <c r="E30" s="4"/>
      <c r="F30" s="4"/>
      <c r="G30" s="4"/>
      <c r="H30" s="4"/>
      <c r="I30" s="4"/>
      <c r="J30" s="4"/>
      <c r="K30" s="4"/>
      <c r="L30" s="4"/>
      <c r="M30" s="4"/>
      <c r="N30" s="4"/>
      <c r="O30" s="4"/>
      <c r="P30" s="4"/>
      <c r="Q30" s="4"/>
      <c r="R30" s="4"/>
      <c r="S30" s="4"/>
      <c r="T30" s="4"/>
      <c r="U30" s="4"/>
      <c r="V30" s="4"/>
      <c r="W30" s="4"/>
      <c r="X30" s="4"/>
      <c r="Y30" s="4"/>
      <c r="Z30" s="37"/>
      <c r="AC30" s="60"/>
      <c r="AD30" s="60"/>
      <c r="AE30" s="60"/>
      <c r="AF30" s="60"/>
      <c r="AG30" s="60"/>
      <c r="AH30" s="60"/>
      <c r="AI30" s="60"/>
      <c r="AJ30" s="60"/>
    </row>
    <row r="31" spans="1:41" ht="15" customHeight="1">
      <c r="A31" s="40"/>
      <c r="B31" s="4"/>
      <c r="C31" s="20" t="s">
        <v>608</v>
      </c>
      <c r="D31" s="4"/>
      <c r="E31" s="4"/>
      <c r="F31" s="4"/>
      <c r="G31" s="4"/>
      <c r="H31" s="4"/>
      <c r="I31" s="4"/>
      <c r="J31" s="4"/>
      <c r="K31" s="4"/>
      <c r="L31" s="4"/>
      <c r="M31" s="4"/>
      <c r="N31" s="4"/>
      <c r="O31" s="4"/>
      <c r="P31" s="4"/>
      <c r="Q31" s="4"/>
      <c r="R31" s="4"/>
      <c r="S31" s="4"/>
      <c r="T31" s="4"/>
      <c r="U31" s="4"/>
      <c r="V31" s="4"/>
      <c r="W31" s="4"/>
      <c r="X31" s="4"/>
      <c r="Y31" s="4"/>
      <c r="Z31" s="37"/>
      <c r="AC31" s="60"/>
      <c r="AD31" s="60"/>
      <c r="AE31" s="60"/>
      <c r="AF31" s="60"/>
      <c r="AG31" s="60"/>
      <c r="AH31" s="60"/>
      <c r="AI31" s="60"/>
      <c r="AJ31" s="60"/>
    </row>
    <row r="32" spans="1:41" ht="15" customHeight="1">
      <c r="A32" s="40"/>
      <c r="B32" s="4"/>
      <c r="C32" s="20" t="s">
        <v>610</v>
      </c>
      <c r="D32" s="4"/>
      <c r="E32" s="4"/>
      <c r="F32" s="4"/>
      <c r="G32" s="4"/>
      <c r="H32" s="4"/>
      <c r="I32" s="4"/>
      <c r="J32" s="4"/>
      <c r="K32" s="4"/>
      <c r="L32" s="4"/>
      <c r="M32" s="4"/>
      <c r="N32" s="4"/>
      <c r="O32" s="4"/>
      <c r="P32" s="4"/>
      <c r="Q32" s="4"/>
      <c r="R32" s="4"/>
      <c r="S32" s="4"/>
      <c r="T32" s="4"/>
      <c r="U32" s="4"/>
      <c r="V32" s="4"/>
      <c r="W32" s="4"/>
      <c r="X32" s="4"/>
      <c r="Y32" s="4"/>
      <c r="Z32" s="37"/>
      <c r="AC32" s="60"/>
      <c r="AD32" s="60"/>
      <c r="AE32" s="60"/>
      <c r="AF32" s="60"/>
      <c r="AG32" s="60"/>
      <c r="AH32" s="60"/>
      <c r="AI32" s="60"/>
      <c r="AJ32" s="60"/>
    </row>
    <row r="33" spans="1:36" ht="8.25" customHeight="1" thickBot="1">
      <c r="A33" s="45"/>
      <c r="B33" s="46"/>
      <c r="C33" s="46"/>
      <c r="D33" s="46"/>
      <c r="E33" s="46"/>
      <c r="F33" s="46"/>
      <c r="G33" s="46"/>
      <c r="H33" s="46"/>
      <c r="I33" s="46"/>
      <c r="J33" s="46"/>
      <c r="K33" s="46"/>
      <c r="L33" s="46"/>
      <c r="M33" s="46"/>
      <c r="N33" s="46"/>
      <c r="O33" s="46"/>
      <c r="P33" s="46"/>
      <c r="Q33" s="46"/>
      <c r="R33" s="46"/>
      <c r="S33" s="46"/>
      <c r="T33" s="46"/>
      <c r="U33" s="46"/>
      <c r="V33" s="46"/>
      <c r="W33" s="46"/>
      <c r="X33" s="46"/>
      <c r="Y33" s="46"/>
      <c r="Z33" s="47"/>
      <c r="AC33" s="60"/>
      <c r="AD33" s="60"/>
      <c r="AE33" s="60"/>
      <c r="AF33" s="60"/>
      <c r="AG33" s="60"/>
      <c r="AH33" s="60"/>
      <c r="AI33" s="60"/>
      <c r="AJ33" s="60"/>
    </row>
    <row r="34" spans="1:36">
      <c r="A34" s="360" t="s">
        <v>786</v>
      </c>
      <c r="B34" s="361"/>
      <c r="C34" s="361"/>
      <c r="D34" s="361"/>
      <c r="E34" s="361"/>
      <c r="F34" s="361"/>
      <c r="G34" s="361"/>
      <c r="H34" s="361"/>
      <c r="I34" s="361"/>
      <c r="J34" s="361"/>
      <c r="K34" s="361"/>
      <c r="L34" s="361"/>
      <c r="M34" s="361"/>
      <c r="N34" s="361"/>
      <c r="O34" s="361"/>
      <c r="P34" s="361"/>
      <c r="Q34" s="361"/>
      <c r="R34" s="361"/>
      <c r="S34" s="361"/>
      <c r="T34" s="361"/>
      <c r="U34" s="361"/>
      <c r="V34" s="361"/>
      <c r="W34" s="361"/>
      <c r="X34" s="361"/>
      <c r="Y34" s="361"/>
      <c r="Z34" s="362"/>
      <c r="AC34" s="60"/>
      <c r="AD34" s="60"/>
      <c r="AE34" s="60"/>
      <c r="AF34" s="60"/>
      <c r="AG34" s="60"/>
      <c r="AH34" s="60"/>
      <c r="AI34" s="60"/>
      <c r="AJ34" s="60"/>
    </row>
    <row r="35" spans="1:36">
      <c r="A35" s="363"/>
      <c r="B35" s="364"/>
      <c r="C35" s="364"/>
      <c r="D35" s="364"/>
      <c r="E35" s="364"/>
      <c r="F35" s="364"/>
      <c r="G35" s="364"/>
      <c r="H35" s="364"/>
      <c r="I35" s="364"/>
      <c r="J35" s="364"/>
      <c r="K35" s="364"/>
      <c r="L35" s="364"/>
      <c r="M35" s="364"/>
      <c r="N35" s="364"/>
      <c r="O35" s="364"/>
      <c r="P35" s="364"/>
      <c r="Q35" s="364"/>
      <c r="R35" s="364"/>
      <c r="S35" s="364"/>
      <c r="T35" s="364"/>
      <c r="U35" s="364"/>
      <c r="V35" s="364"/>
      <c r="W35" s="364"/>
      <c r="X35" s="364"/>
      <c r="Y35" s="364"/>
      <c r="Z35" s="365"/>
      <c r="AC35" s="60"/>
      <c r="AD35" s="60"/>
      <c r="AE35" s="60"/>
      <c r="AF35" s="60"/>
      <c r="AG35" s="60"/>
      <c r="AH35" s="60"/>
      <c r="AI35" s="60"/>
      <c r="AJ35" s="60"/>
    </row>
    <row r="36" spans="1:36" ht="21" customHeight="1">
      <c r="A36" s="406" t="s">
        <v>62</v>
      </c>
      <c r="B36" s="258"/>
      <c r="C36" s="258"/>
      <c r="D36" s="258"/>
      <c r="E36" s="258"/>
      <c r="F36" s="258"/>
      <c r="G36" s="258"/>
      <c r="H36" s="258"/>
      <c r="I36" s="407"/>
      <c r="J36" s="411"/>
      <c r="K36" s="408"/>
      <c r="L36" s="408"/>
      <c r="M36" s="61" t="s">
        <v>173</v>
      </c>
      <c r="N36" s="55"/>
      <c r="O36" s="61" t="s">
        <v>172</v>
      </c>
      <c r="P36" s="55"/>
      <c r="Q36" s="61" t="s">
        <v>171</v>
      </c>
      <c r="R36" s="51" t="s">
        <v>7</v>
      </c>
      <c r="S36" s="408"/>
      <c r="T36" s="408"/>
      <c r="U36" s="408"/>
      <c r="V36" s="61" t="s">
        <v>173</v>
      </c>
      <c r="W36" s="55"/>
      <c r="X36" s="61" t="s">
        <v>172</v>
      </c>
      <c r="Y36" s="55"/>
      <c r="Z36" s="87" t="s">
        <v>171</v>
      </c>
      <c r="AB36" s="142"/>
      <c r="AC36" s="60"/>
      <c r="AD36" s="60"/>
      <c r="AE36" s="60"/>
      <c r="AF36" s="60"/>
      <c r="AG36" s="60"/>
      <c r="AH36" s="60"/>
      <c r="AI36" s="60"/>
      <c r="AJ36" s="60"/>
    </row>
    <row r="37" spans="1:36" ht="21" customHeight="1">
      <c r="A37" s="406" t="s">
        <v>63</v>
      </c>
      <c r="B37" s="258"/>
      <c r="C37" s="258"/>
      <c r="D37" s="258"/>
      <c r="E37" s="258"/>
      <c r="F37" s="258"/>
      <c r="G37" s="258"/>
      <c r="H37" s="258"/>
      <c r="I37" s="407"/>
      <c r="J37" s="404"/>
      <c r="K37" s="405"/>
      <c r="L37" s="405"/>
      <c r="M37" s="405"/>
      <c r="N37" s="405"/>
      <c r="O37" s="405"/>
      <c r="P37" s="405"/>
      <c r="Q37" s="405"/>
      <c r="R37" s="405"/>
      <c r="S37" s="405"/>
      <c r="T37" s="405"/>
      <c r="U37" s="405"/>
      <c r="V37" s="405"/>
      <c r="W37" s="21" t="s">
        <v>5</v>
      </c>
      <c r="X37" s="52"/>
      <c r="Y37" s="409" t="s">
        <v>499</v>
      </c>
      <c r="Z37" s="410"/>
      <c r="AC37" s="60"/>
      <c r="AD37" s="60"/>
      <c r="AE37" s="60"/>
      <c r="AF37" s="60"/>
      <c r="AG37" s="60"/>
      <c r="AH37" s="60"/>
      <c r="AI37" s="60"/>
      <c r="AJ37" s="60"/>
    </row>
    <row r="38" spans="1:36" ht="21" customHeight="1">
      <c r="A38" s="406" t="s">
        <v>6</v>
      </c>
      <c r="B38" s="258"/>
      <c r="C38" s="258"/>
      <c r="D38" s="258"/>
      <c r="E38" s="258"/>
      <c r="F38" s="258"/>
      <c r="G38" s="258"/>
      <c r="H38" s="258"/>
      <c r="I38" s="407"/>
      <c r="J38" s="404"/>
      <c r="K38" s="405"/>
      <c r="L38" s="405"/>
      <c r="M38" s="405"/>
      <c r="N38" s="405"/>
      <c r="O38" s="405"/>
      <c r="P38" s="405"/>
      <c r="Q38" s="405"/>
      <c r="R38" s="405"/>
      <c r="S38" s="405"/>
      <c r="T38" s="405"/>
      <c r="U38" s="405"/>
      <c r="V38" s="405"/>
      <c r="W38" s="21" t="s">
        <v>5</v>
      </c>
      <c r="X38" s="51"/>
      <c r="Y38" s="409" t="s">
        <v>499</v>
      </c>
      <c r="Z38" s="410"/>
      <c r="AC38" s="60"/>
      <c r="AD38" s="60"/>
      <c r="AE38" s="60"/>
      <c r="AF38" s="60"/>
      <c r="AG38" s="60"/>
      <c r="AH38" s="60"/>
      <c r="AI38" s="60"/>
      <c r="AJ38" s="60"/>
    </row>
    <row r="39" spans="1:36" ht="7.5" customHeight="1">
      <c r="A39" s="86"/>
      <c r="B39" s="88"/>
      <c r="C39" s="50"/>
      <c r="D39" s="88"/>
      <c r="E39" s="88"/>
      <c r="F39" s="88"/>
      <c r="G39" s="88"/>
      <c r="H39" s="88"/>
      <c r="I39" s="88"/>
      <c r="J39" s="88"/>
      <c r="K39" s="88"/>
      <c r="L39" s="88"/>
      <c r="M39" s="88"/>
      <c r="N39" s="88"/>
      <c r="O39" s="88"/>
      <c r="P39" s="88"/>
      <c r="Q39" s="88"/>
      <c r="R39" s="88"/>
      <c r="S39" s="88"/>
      <c r="T39" s="88"/>
      <c r="U39" s="88"/>
      <c r="V39" s="88"/>
      <c r="W39" s="88"/>
      <c r="X39" s="88"/>
      <c r="Y39" s="88"/>
      <c r="Z39" s="89"/>
    </row>
    <row r="40" spans="1:36" ht="14.1" customHeight="1">
      <c r="A40" s="40"/>
      <c r="B40" s="35" t="s">
        <v>611</v>
      </c>
      <c r="C40" s="16"/>
      <c r="D40" s="16"/>
      <c r="E40" s="16"/>
      <c r="F40" s="16"/>
      <c r="G40" s="16"/>
      <c r="H40" s="16"/>
      <c r="I40" s="16"/>
      <c r="J40" s="16"/>
      <c r="K40" s="16"/>
      <c r="L40" s="4"/>
      <c r="M40" s="4"/>
      <c r="N40" s="4"/>
      <c r="O40" s="4"/>
      <c r="P40" s="4"/>
      <c r="Q40" s="4"/>
      <c r="R40" s="4"/>
      <c r="S40" s="4"/>
      <c r="T40" s="4"/>
      <c r="U40" s="4"/>
      <c r="V40" s="4"/>
      <c r="W40" s="4"/>
      <c r="X40" s="4"/>
      <c r="Y40" s="4"/>
      <c r="Z40" s="37"/>
      <c r="AA40" s="4"/>
    </row>
    <row r="41" spans="1:36" ht="14.1" customHeight="1">
      <c r="A41" s="90"/>
      <c r="B41" s="35" t="s">
        <v>612</v>
      </c>
      <c r="C41" s="16"/>
      <c r="D41" s="16"/>
      <c r="E41" s="16"/>
      <c r="F41" s="16"/>
      <c r="G41" s="16"/>
      <c r="H41" s="16"/>
      <c r="I41" s="16"/>
      <c r="J41" s="16"/>
      <c r="K41" s="16"/>
      <c r="L41" s="4"/>
      <c r="M41" s="4"/>
      <c r="N41" s="4"/>
      <c r="O41" s="4"/>
      <c r="P41" s="4"/>
      <c r="Q41" s="4"/>
      <c r="R41" s="4"/>
      <c r="S41" s="4"/>
      <c r="T41" s="4"/>
      <c r="U41" s="4"/>
      <c r="V41" s="4"/>
      <c r="W41" s="4"/>
      <c r="X41" s="4"/>
      <c r="Y41" s="4"/>
      <c r="Z41" s="37"/>
      <c r="AA41" s="4"/>
    </row>
    <row r="42" spans="1:36" ht="6" customHeight="1" thickBot="1">
      <c r="A42" s="91"/>
      <c r="B42" s="92"/>
      <c r="C42" s="46"/>
      <c r="D42" s="92"/>
      <c r="E42" s="92"/>
      <c r="F42" s="92"/>
      <c r="G42" s="92"/>
      <c r="H42" s="92"/>
      <c r="I42" s="92"/>
      <c r="J42" s="92"/>
      <c r="K42" s="92"/>
      <c r="L42" s="92"/>
      <c r="M42" s="92"/>
      <c r="N42" s="92"/>
      <c r="O42" s="92"/>
      <c r="P42" s="92"/>
      <c r="Q42" s="92"/>
      <c r="R42" s="92"/>
      <c r="S42" s="92"/>
      <c r="T42" s="92"/>
      <c r="U42" s="92"/>
      <c r="V42" s="92"/>
      <c r="W42" s="92"/>
      <c r="X42" s="92"/>
      <c r="Y42" s="92"/>
      <c r="Z42" s="93"/>
    </row>
    <row r="43" spans="1:36">
      <c r="A43" s="360" t="s">
        <v>787</v>
      </c>
      <c r="B43" s="361"/>
      <c r="C43" s="361"/>
      <c r="D43" s="361"/>
      <c r="E43" s="361"/>
      <c r="F43" s="361"/>
      <c r="G43" s="361"/>
      <c r="H43" s="361"/>
      <c r="I43" s="361"/>
      <c r="J43" s="361"/>
      <c r="K43" s="361"/>
      <c r="L43" s="361"/>
      <c r="M43" s="361"/>
      <c r="N43" s="361"/>
      <c r="O43" s="361"/>
      <c r="P43" s="361"/>
      <c r="Q43" s="361"/>
      <c r="R43" s="361"/>
      <c r="S43" s="361"/>
      <c r="T43" s="361"/>
      <c r="U43" s="361"/>
      <c r="V43" s="361"/>
      <c r="W43" s="361"/>
      <c r="X43" s="361"/>
      <c r="Y43" s="361"/>
      <c r="Z43" s="362"/>
    </row>
    <row r="44" spans="1:36">
      <c r="A44" s="363"/>
      <c r="B44" s="364"/>
      <c r="C44" s="364"/>
      <c r="D44" s="364"/>
      <c r="E44" s="364"/>
      <c r="F44" s="364"/>
      <c r="G44" s="364"/>
      <c r="H44" s="364"/>
      <c r="I44" s="364"/>
      <c r="J44" s="364"/>
      <c r="K44" s="364"/>
      <c r="L44" s="364"/>
      <c r="M44" s="364"/>
      <c r="N44" s="364"/>
      <c r="O44" s="364"/>
      <c r="P44" s="364"/>
      <c r="Q44" s="364"/>
      <c r="R44" s="364"/>
      <c r="S44" s="364"/>
      <c r="T44" s="364"/>
      <c r="U44" s="364"/>
      <c r="V44" s="364"/>
      <c r="W44" s="364"/>
      <c r="X44" s="364"/>
      <c r="Y44" s="364"/>
      <c r="Z44" s="365"/>
    </row>
    <row r="45" spans="1:36" ht="11.25" customHeight="1">
      <c r="A45" s="251" t="s">
        <v>8</v>
      </c>
      <c r="B45" s="383"/>
      <c r="C45" s="383"/>
      <c r="D45" s="383"/>
      <c r="E45" s="383"/>
      <c r="F45" s="383"/>
      <c r="G45" s="383"/>
      <c r="H45" s="383"/>
      <c r="I45" s="253" t="s">
        <v>565</v>
      </c>
      <c r="J45" s="383"/>
      <c r="K45" s="383"/>
      <c r="L45" s="388"/>
      <c r="M45" s="253" t="s">
        <v>8</v>
      </c>
      <c r="N45" s="383"/>
      <c r="O45" s="383"/>
      <c r="P45" s="383"/>
      <c r="Q45" s="383"/>
      <c r="R45" s="383"/>
      <c r="S45" s="383"/>
      <c r="T45" s="383"/>
      <c r="U45" s="383"/>
      <c r="V45" s="388"/>
      <c r="W45" s="253" t="s">
        <v>565</v>
      </c>
      <c r="X45" s="383"/>
      <c r="Y45" s="383"/>
      <c r="Z45" s="384"/>
    </row>
    <row r="46" spans="1:36" ht="11.25" customHeight="1">
      <c r="A46" s="392"/>
      <c r="B46" s="386"/>
      <c r="C46" s="386"/>
      <c r="D46" s="386"/>
      <c r="E46" s="386"/>
      <c r="F46" s="386"/>
      <c r="G46" s="386"/>
      <c r="H46" s="386"/>
      <c r="I46" s="385"/>
      <c r="J46" s="386"/>
      <c r="K46" s="386"/>
      <c r="L46" s="389"/>
      <c r="M46" s="385"/>
      <c r="N46" s="386"/>
      <c r="O46" s="386"/>
      <c r="P46" s="386"/>
      <c r="Q46" s="386"/>
      <c r="R46" s="386"/>
      <c r="S46" s="386"/>
      <c r="T46" s="386"/>
      <c r="U46" s="386"/>
      <c r="V46" s="389"/>
      <c r="W46" s="385"/>
      <c r="X46" s="386"/>
      <c r="Y46" s="386"/>
      <c r="Z46" s="387"/>
      <c r="AB46" s="140" t="s">
        <v>613</v>
      </c>
    </row>
    <row r="47" spans="1:36" ht="20.100000000000001" customHeight="1">
      <c r="A47" s="393" t="s">
        <v>568</v>
      </c>
      <c r="B47" s="381"/>
      <c r="C47" s="381"/>
      <c r="D47" s="381"/>
      <c r="E47" s="381"/>
      <c r="F47" s="381"/>
      <c r="G47" s="381"/>
      <c r="H47" s="381"/>
      <c r="I47" s="394"/>
      <c r="J47" s="390"/>
      <c r="K47" s="390"/>
      <c r="L47" s="395"/>
      <c r="M47" s="380" t="s">
        <v>570</v>
      </c>
      <c r="N47" s="381"/>
      <c r="O47" s="381"/>
      <c r="P47" s="381"/>
      <c r="Q47" s="381"/>
      <c r="R47" s="381"/>
      <c r="S47" s="381"/>
      <c r="T47" s="381"/>
      <c r="U47" s="381"/>
      <c r="V47" s="382"/>
      <c r="W47" s="390"/>
      <c r="X47" s="390"/>
      <c r="Y47" s="390"/>
      <c r="Z47" s="391"/>
      <c r="AB47" s="139" t="str">
        <f>IF(I47="該当あり","yes","no")</f>
        <v>no</v>
      </c>
      <c r="AE47" s="2" t="s">
        <v>566</v>
      </c>
    </row>
    <row r="48" spans="1:36" ht="20.100000000000001" customHeight="1">
      <c r="A48" s="393" t="s">
        <v>569</v>
      </c>
      <c r="B48" s="381"/>
      <c r="C48" s="381"/>
      <c r="D48" s="381"/>
      <c r="E48" s="381"/>
      <c r="F48" s="381"/>
      <c r="G48" s="381"/>
      <c r="H48" s="381"/>
      <c r="I48" s="394"/>
      <c r="J48" s="390"/>
      <c r="K48" s="390"/>
      <c r="L48" s="395"/>
      <c r="M48" s="380" t="s">
        <v>33</v>
      </c>
      <c r="N48" s="381"/>
      <c r="O48" s="381"/>
      <c r="P48" s="381"/>
      <c r="Q48" s="381"/>
      <c r="R48" s="381"/>
      <c r="S48" s="381"/>
      <c r="T48" s="381"/>
      <c r="U48" s="381"/>
      <c r="V48" s="382"/>
      <c r="W48" s="390"/>
      <c r="X48" s="390"/>
      <c r="Y48" s="390"/>
      <c r="Z48" s="391"/>
      <c r="AB48" s="139" t="str">
        <f>IF(I48="該当あり","yes","no")</f>
        <v>no</v>
      </c>
      <c r="AE48" s="2" t="s">
        <v>567</v>
      </c>
    </row>
    <row r="49" spans="1:28" ht="6.75" customHeight="1">
      <c r="A49" s="86"/>
      <c r="B49" s="88"/>
      <c r="C49" s="50"/>
      <c r="D49" s="88"/>
      <c r="E49" s="88"/>
      <c r="F49" s="88"/>
      <c r="G49" s="88"/>
      <c r="H49" s="88"/>
      <c r="I49" s="88"/>
      <c r="J49" s="88"/>
      <c r="K49" s="88"/>
      <c r="L49" s="88"/>
      <c r="M49" s="94"/>
      <c r="N49" s="94"/>
      <c r="O49" s="94"/>
      <c r="P49" s="94"/>
      <c r="Q49" s="94"/>
      <c r="R49" s="94"/>
      <c r="S49" s="94"/>
      <c r="T49" s="94"/>
      <c r="U49" s="94"/>
      <c r="V49" s="94"/>
      <c r="W49" s="94"/>
      <c r="X49" s="94"/>
      <c r="Y49" s="94"/>
      <c r="Z49" s="95"/>
      <c r="AB49" s="139" t="str">
        <f>IF(W47="該当あり","yes","no")</f>
        <v>no</v>
      </c>
    </row>
    <row r="50" spans="1:28" s="2" customFormat="1" ht="18" customHeight="1">
      <c r="A50" s="40"/>
      <c r="B50" s="20" t="s">
        <v>780</v>
      </c>
      <c r="C50" s="216"/>
      <c r="D50" s="94"/>
      <c r="E50" s="94"/>
      <c r="F50" s="94"/>
      <c r="G50" s="94"/>
      <c r="H50" s="94"/>
      <c r="I50" s="94"/>
      <c r="J50" s="94"/>
      <c r="K50" s="94"/>
      <c r="L50" s="94"/>
      <c r="M50" s="94"/>
      <c r="N50" s="94"/>
      <c r="O50" s="94"/>
      <c r="P50" s="94"/>
      <c r="Q50" s="94"/>
      <c r="R50" s="94"/>
      <c r="S50" s="94"/>
      <c r="T50" s="94"/>
      <c r="U50" s="94"/>
      <c r="V50" s="94"/>
      <c r="W50" s="94"/>
      <c r="X50" s="94"/>
      <c r="Y50" s="94"/>
      <c r="Z50" s="37"/>
      <c r="AA50" s="4"/>
      <c r="AB50" s="139" t="str">
        <f>IF(W48="該当あり","yes","no")</f>
        <v>no</v>
      </c>
    </row>
    <row r="51" spans="1:28" s="2" customFormat="1" ht="14.1" customHeight="1">
      <c r="A51" s="40"/>
      <c r="B51" s="20" t="s">
        <v>781</v>
      </c>
      <c r="C51" s="217"/>
      <c r="D51" s="96"/>
      <c r="E51" s="96"/>
      <c r="F51" s="96"/>
      <c r="G51" s="96"/>
      <c r="H51" s="96"/>
      <c r="I51" s="96"/>
      <c r="J51" s="96"/>
      <c r="K51" s="96"/>
      <c r="L51" s="96"/>
      <c r="M51" s="96"/>
      <c r="N51" s="96"/>
      <c r="O51" s="96"/>
      <c r="P51" s="96"/>
      <c r="Q51" s="96"/>
      <c r="R51" s="96"/>
      <c r="S51" s="96"/>
      <c r="T51" s="96"/>
      <c r="U51" s="96"/>
      <c r="V51" s="96"/>
      <c r="W51" s="96"/>
      <c r="X51" s="96"/>
      <c r="Y51" s="96"/>
      <c r="Z51" s="37"/>
      <c r="AA51" s="4"/>
      <c r="AB51" s="140"/>
    </row>
    <row r="52" spans="1:28" s="2" customFormat="1" ht="17.100000000000001" customHeight="1">
      <c r="A52" s="40"/>
      <c r="B52" s="20" t="s">
        <v>782</v>
      </c>
      <c r="C52" s="217"/>
      <c r="D52" s="96"/>
      <c r="E52" s="96"/>
      <c r="F52" s="96"/>
      <c r="G52" s="96"/>
      <c r="H52" s="96"/>
      <c r="I52" s="96"/>
      <c r="J52" s="96"/>
      <c r="K52" s="96"/>
      <c r="L52" s="96"/>
      <c r="M52" s="96"/>
      <c r="N52" s="96"/>
      <c r="O52" s="96"/>
      <c r="P52" s="96"/>
      <c r="Q52" s="96"/>
      <c r="R52" s="96"/>
      <c r="S52" s="96"/>
      <c r="T52" s="96"/>
      <c r="U52" s="96"/>
      <c r="V52" s="96"/>
      <c r="W52" s="96"/>
      <c r="X52" s="96"/>
      <c r="Y52" s="96"/>
      <c r="Z52" s="37"/>
      <c r="AA52" s="4"/>
      <c r="AB52" s="140"/>
    </row>
    <row r="53" spans="1:28" ht="6" customHeight="1" thickBot="1">
      <c r="A53" s="91"/>
      <c r="B53" s="92"/>
      <c r="C53" s="46"/>
      <c r="D53" s="92"/>
      <c r="E53" s="92"/>
      <c r="F53" s="92"/>
      <c r="G53" s="92"/>
      <c r="H53" s="92"/>
      <c r="I53" s="92"/>
      <c r="J53" s="92"/>
      <c r="K53" s="92"/>
      <c r="L53" s="92"/>
      <c r="M53" s="92"/>
      <c r="N53" s="92"/>
      <c r="O53" s="92"/>
      <c r="P53" s="92"/>
      <c r="Q53" s="92"/>
      <c r="R53" s="92"/>
      <c r="S53" s="92"/>
      <c r="T53" s="92"/>
      <c r="U53" s="92"/>
      <c r="V53" s="92"/>
      <c r="W53" s="92"/>
      <c r="X53" s="92"/>
      <c r="Y53" s="92"/>
      <c r="Z53" s="93"/>
    </row>
  </sheetData>
  <sheetProtection selectLockedCells="1"/>
  <mergeCells count="64">
    <mergeCell ref="Q18:Z19"/>
    <mergeCell ref="Q20:Z21"/>
    <mergeCell ref="A12:Z13"/>
    <mergeCell ref="A14:H15"/>
    <mergeCell ref="I14:P14"/>
    <mergeCell ref="I15:P15"/>
    <mergeCell ref="Q14:Z15"/>
    <mergeCell ref="I17:J17"/>
    <mergeCell ref="I18:J18"/>
    <mergeCell ref="I19:J19"/>
    <mergeCell ref="I20:J20"/>
    <mergeCell ref="I21:J21"/>
    <mergeCell ref="I48:L48"/>
    <mergeCell ref="A48:H48"/>
    <mergeCell ref="A16:H17"/>
    <mergeCell ref="A18:H19"/>
    <mergeCell ref="A20:H21"/>
    <mergeCell ref="J38:V38"/>
    <mergeCell ref="A37:I37"/>
    <mergeCell ref="A29:B29"/>
    <mergeCell ref="J37:V37"/>
    <mergeCell ref="A38:I38"/>
    <mergeCell ref="A36:I36"/>
    <mergeCell ref="A34:Z35"/>
    <mergeCell ref="S36:U36"/>
    <mergeCell ref="Y37:Z37"/>
    <mergeCell ref="Y38:Z38"/>
    <mergeCell ref="J36:L36"/>
    <mergeCell ref="Q24:Z25"/>
    <mergeCell ref="A22:H23"/>
    <mergeCell ref="A24:H25"/>
    <mergeCell ref="A26:H27"/>
    <mergeCell ref="Q22:Z23"/>
    <mergeCell ref="Q26:Z27"/>
    <mergeCell ref="I23:J23"/>
    <mergeCell ref="I24:J24"/>
    <mergeCell ref="I25:J25"/>
    <mergeCell ref="I26:J26"/>
    <mergeCell ref="I27:J27"/>
    <mergeCell ref="I22:J22"/>
    <mergeCell ref="A43:Z44"/>
    <mergeCell ref="A45:H46"/>
    <mergeCell ref="A47:H47"/>
    <mergeCell ref="I45:L46"/>
    <mergeCell ref="I47:L47"/>
    <mergeCell ref="M48:V48"/>
    <mergeCell ref="W45:Z46"/>
    <mergeCell ref="M45:V46"/>
    <mergeCell ref="W47:Z47"/>
    <mergeCell ref="M47:V47"/>
    <mergeCell ref="W48:Z48"/>
    <mergeCell ref="M5:W5"/>
    <mergeCell ref="A6:Z7"/>
    <mergeCell ref="M3:Z3"/>
    <mergeCell ref="M4:W4"/>
    <mergeCell ref="I16:J16"/>
    <mergeCell ref="B9:D10"/>
    <mergeCell ref="Q16:Z17"/>
    <mergeCell ref="L9:M10"/>
    <mergeCell ref="F9:G10"/>
    <mergeCell ref="H9:H10"/>
    <mergeCell ref="I9:J10"/>
    <mergeCell ref="K9:K10"/>
    <mergeCell ref="N9:N10"/>
  </mergeCells>
  <phoneticPr fontId="2"/>
  <conditionalFormatting sqref="A4">
    <cfRule type="cellIs" dxfId="210" priority="1" stopIfTrue="1" operator="notEqual">
      <formula>""</formula>
    </cfRule>
  </conditionalFormatting>
  <conditionalFormatting sqref="A43">
    <cfRule type="expression" dxfId="209" priority="75" stopIfTrue="1">
      <formula>#REF!=1</formula>
    </cfRule>
    <cfRule type="expression" dxfId="208" priority="76" stopIfTrue="1">
      <formula>#REF!=2</formula>
    </cfRule>
  </conditionalFormatting>
  <conditionalFormatting sqref="A45 M45">
    <cfRule type="expression" dxfId="207" priority="133" stopIfTrue="1">
      <formula>#REF!=1</formula>
    </cfRule>
    <cfRule type="expression" dxfId="206" priority="134" stopIfTrue="1">
      <formula>#REF!=2</formula>
    </cfRule>
  </conditionalFormatting>
  <conditionalFormatting sqref="A47">
    <cfRule type="expression" dxfId="205" priority="107" stopIfTrue="1">
      <formula>G50=1</formula>
    </cfRule>
    <cfRule type="expression" dxfId="204" priority="108" stopIfTrue="1">
      <formula>G50=2</formula>
    </cfRule>
  </conditionalFormatting>
  <conditionalFormatting sqref="A48">
    <cfRule type="expression" dxfId="203" priority="63" stopIfTrue="1">
      <formula>G50=1</formula>
    </cfRule>
    <cfRule type="expression" dxfId="202" priority="64" stopIfTrue="1">
      <formula>G50=2</formula>
    </cfRule>
  </conditionalFormatting>
  <conditionalFormatting sqref="A16:I27">
    <cfRule type="cellIs" dxfId="201" priority="3" operator="notEqual">
      <formula>""</formula>
    </cfRule>
  </conditionalFormatting>
  <conditionalFormatting sqref="B9">
    <cfRule type="expression" dxfId="200" priority="14">
      <formula>B9&lt;&gt;""</formula>
    </cfRule>
  </conditionalFormatting>
  <conditionalFormatting sqref="F9 I9 L9">
    <cfRule type="cellIs" dxfId="199" priority="16" stopIfTrue="1" operator="notEqual">
      <formula>""</formula>
    </cfRule>
  </conditionalFormatting>
  <conditionalFormatting sqref="H9 U9:Y10">
    <cfRule type="cellIs" dxfId="198" priority="17" stopIfTrue="1" operator="equal">
      <formula>"年月日に誤りがあるか、計算範囲外にあります。"</formula>
    </cfRule>
  </conditionalFormatting>
  <conditionalFormatting sqref="I47:L48 W47:Z48">
    <cfRule type="cellIs" dxfId="197" priority="22" operator="notEqual">
      <formula>""</formula>
    </cfRule>
  </conditionalFormatting>
  <conditionalFormatting sqref="I48:L48">
    <cfRule type="expression" dxfId="196" priority="39">
      <formula>I48&lt;&gt;""</formula>
    </cfRule>
  </conditionalFormatting>
  <conditionalFormatting sqref="K16:K27 M16:M27 O16:O27">
    <cfRule type="cellIs" dxfId="195" priority="7" operator="notEqual">
      <formula>""</formula>
    </cfRule>
  </conditionalFormatting>
  <conditionalFormatting sqref="M36 O36 Q36">
    <cfRule type="expression" dxfId="194" priority="73" stopIfTrue="1">
      <formula>#REF!="TRUE"</formula>
    </cfRule>
  </conditionalFormatting>
  <conditionalFormatting sqref="M47:M48">
    <cfRule type="expression" dxfId="193" priority="41" stopIfTrue="1">
      <formula>S51=1</formula>
    </cfRule>
    <cfRule type="expression" dxfId="192" priority="42" stopIfTrue="1">
      <formula>S51=2</formula>
    </cfRule>
  </conditionalFormatting>
  <conditionalFormatting sqref="M3:Z3 M4:W5">
    <cfRule type="cellIs" dxfId="191" priority="2" operator="notEqual">
      <formula>""</formula>
    </cfRule>
  </conditionalFormatting>
  <conditionalFormatting sqref="N36 P36 S36 W36 Y36 J36:J38">
    <cfRule type="cellIs" dxfId="190" priority="23" operator="notEqual">
      <formula>""</formula>
    </cfRule>
  </conditionalFormatting>
  <conditionalFormatting sqref="Q16:Z27">
    <cfRule type="cellIs" dxfId="189" priority="25" operator="notEqual">
      <formula>""</formula>
    </cfRule>
  </conditionalFormatting>
  <conditionalFormatting sqref="W48">
    <cfRule type="cellIs" dxfId="188" priority="38" stopIfTrue="1" operator="notEqual">
      <formula>""</formula>
    </cfRule>
  </conditionalFormatting>
  <conditionalFormatting sqref="W47:Z48">
    <cfRule type="expression" dxfId="187" priority="37">
      <formula>W47&lt;&gt;""</formula>
    </cfRule>
  </conditionalFormatting>
  <conditionalFormatting sqref="X36 Z36">
    <cfRule type="expression" dxfId="186" priority="71" stopIfTrue="1">
      <formula>#REF!="TRUE"</formula>
    </cfRule>
  </conditionalFormatting>
  <dataValidations xWindow="47" yWindow="226" count="6">
    <dataValidation imeMode="disabled" allowBlank="1" showInputMessage="1" showErrorMessage="1" sqref="F9:G10 I9:J10 L9:M10 M16:M27 O16:O27 J37:V38 N36 P36 W36 Y36 K16:K27 M4:W5" xr:uid="{00000000-0002-0000-0200-000000000000}"/>
    <dataValidation imeMode="on" allowBlank="1" showInputMessage="1" showErrorMessage="1" sqref="A16:H27 L16:L27 N16:N27 P16:Z27" xr:uid="{00000000-0002-0000-0200-000001000000}"/>
    <dataValidation type="list" allowBlank="1" showInputMessage="1" showErrorMessage="1" sqref="I47:L48 W47:Z48" xr:uid="{00000000-0002-0000-0200-000002000000}">
      <formula1>$AE$47:$AE$48</formula1>
    </dataValidation>
    <dataValidation type="list" allowBlank="1" showInputMessage="1" showErrorMessage="1" sqref="B9" xr:uid="{00000000-0002-0000-0200-000003000000}">
      <formula1>$AE$9:$AE$13</formula1>
    </dataValidation>
    <dataValidation type="list" imeMode="on" allowBlank="1" showInputMessage="1" showErrorMessage="1" sqref="I16:J27" xr:uid="{00000000-0002-0000-0200-000004000000}">
      <formula1>$AE$9:$AE$13</formula1>
    </dataValidation>
    <dataValidation type="list" allowBlank="1" showInputMessage="1" showErrorMessage="1" sqref="M3:Z3" xr:uid="{11FEADD3-B539-4DB0-AC5B-594860A10120}">
      <formula1>$AD$15:$AD$21</formula1>
    </dataValidation>
  </dataValidations>
  <pageMargins left="0.78740157480314965" right="0.39370078740157483" top="0.78740157480314965" bottom="0.78740157480314965" header="0.51181102362204722" footer="0.51181102362204722"/>
  <pageSetup paperSize="9" scale="99" fitToWidth="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N40"/>
  <sheetViews>
    <sheetView showGridLines="0" showZeros="0" view="pageBreakPreview" topLeftCell="A13" zoomScaleNormal="100" zoomScaleSheetLayoutView="100" workbookViewId="0">
      <selection activeCell="K35" sqref="K35:AE35"/>
    </sheetView>
  </sheetViews>
  <sheetFormatPr defaultColWidth="2.75" defaultRowHeight="13.5"/>
  <cols>
    <col min="1" max="32" width="2.75" style="2" customWidth="1"/>
    <col min="33" max="33" width="8" style="140" customWidth="1"/>
    <col min="34" max="34" width="13.375" style="2" hidden="1" customWidth="1"/>
    <col min="35" max="36" width="4.375" style="2" customWidth="1"/>
    <col min="37" max="37" width="11.75" style="2" customWidth="1"/>
    <col min="38" max="38" width="12.875" style="2" hidden="1" customWidth="1"/>
    <col min="39" max="40" width="4.375" style="2" hidden="1" customWidth="1"/>
    <col min="41" max="46" width="4.375" style="2" customWidth="1"/>
    <col min="47" max="47" width="2.75" style="2" customWidth="1"/>
    <col min="48" max="16384" width="2.75" style="2"/>
  </cols>
  <sheetData>
    <row r="1" spans="1:39" ht="21.75" customHeight="1" thickBot="1">
      <c r="A1" s="1" t="s">
        <v>38</v>
      </c>
      <c r="B1" s="4"/>
      <c r="C1" s="4"/>
      <c r="D1" s="4"/>
      <c r="E1" s="4"/>
      <c r="F1" s="4"/>
      <c r="G1" s="4"/>
      <c r="H1" s="4"/>
      <c r="I1" s="4"/>
      <c r="J1" s="4"/>
      <c r="K1" s="4"/>
      <c r="L1" s="4"/>
      <c r="M1" s="4"/>
      <c r="N1" s="4"/>
      <c r="O1" s="4"/>
      <c r="P1" s="4"/>
      <c r="Q1" s="4"/>
      <c r="R1" s="2" t="str">
        <f>IF(第１号様式!$H$21="","",第１号様式!$H$21)</f>
        <v/>
      </c>
      <c r="T1" s="4"/>
      <c r="U1" s="4"/>
      <c r="V1" s="4"/>
      <c r="W1" s="4"/>
      <c r="X1" s="4"/>
      <c r="Y1" s="4"/>
      <c r="Z1" s="4"/>
      <c r="AA1" s="4"/>
      <c r="AB1" s="4"/>
      <c r="AC1" s="4"/>
      <c r="AD1" s="4"/>
      <c r="AE1" s="4"/>
    </row>
    <row r="2" spans="1:39">
      <c r="A2" s="360" t="s">
        <v>788</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2"/>
    </row>
    <row r="3" spans="1:39">
      <c r="A3" s="470"/>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2"/>
      <c r="AG3" s="140" t="s">
        <v>613</v>
      </c>
      <c r="AH3" s="2" t="s">
        <v>576</v>
      </c>
      <c r="AL3" s="2" t="s">
        <v>576</v>
      </c>
      <c r="AM3" s="2" t="s">
        <v>577</v>
      </c>
    </row>
    <row r="4" spans="1:39" ht="28.5" customHeight="1">
      <c r="A4" s="436" t="s">
        <v>9</v>
      </c>
      <c r="B4" s="473"/>
      <c r="C4" s="303" t="s">
        <v>12</v>
      </c>
      <c r="D4" s="266"/>
      <c r="E4" s="266"/>
      <c r="F4" s="266"/>
      <c r="G4" s="266"/>
      <c r="H4" s="266"/>
      <c r="I4" s="475"/>
      <c r="J4" s="268"/>
      <c r="K4" s="269"/>
      <c r="L4" s="269"/>
      <c r="M4" s="269"/>
      <c r="N4" s="269"/>
      <c r="O4" s="269"/>
      <c r="P4" s="269"/>
      <c r="Q4" s="269"/>
      <c r="R4" s="269"/>
      <c r="S4" s="269"/>
      <c r="T4" s="269"/>
      <c r="U4" s="269"/>
      <c r="V4" s="269"/>
      <c r="W4" s="269"/>
      <c r="X4" s="269"/>
      <c r="Y4" s="269"/>
      <c r="Z4" s="269"/>
      <c r="AA4" s="269"/>
      <c r="AB4" s="269"/>
      <c r="AC4" s="269"/>
      <c r="AD4" s="269"/>
      <c r="AE4" s="274"/>
      <c r="AG4" s="139" t="str">
        <f>IF(J4="","",IF(J4="代理人を置く","yes","no"))</f>
        <v/>
      </c>
      <c r="AH4" s="2" t="s">
        <v>577</v>
      </c>
      <c r="AL4" s="2" t="s">
        <v>575</v>
      </c>
      <c r="AM4" s="2" t="s">
        <v>574</v>
      </c>
    </row>
    <row r="5" spans="1:39" ht="18.75" customHeight="1">
      <c r="A5" s="438"/>
      <c r="B5" s="474"/>
      <c r="C5" s="303" t="s">
        <v>13</v>
      </c>
      <c r="D5" s="266"/>
      <c r="E5" s="266"/>
      <c r="F5" s="267"/>
      <c r="G5" s="328" t="s">
        <v>174</v>
      </c>
      <c r="H5" s="329"/>
      <c r="I5" s="330"/>
      <c r="J5" s="467"/>
      <c r="K5" s="468"/>
      <c r="L5" s="468"/>
      <c r="M5" s="468"/>
      <c r="N5" s="468"/>
      <c r="O5" s="468"/>
      <c r="P5" s="468"/>
      <c r="Q5" s="468"/>
      <c r="R5" s="468"/>
      <c r="S5" s="468"/>
      <c r="T5" s="468"/>
      <c r="U5" s="468"/>
      <c r="V5" s="468"/>
      <c r="W5" s="468"/>
      <c r="X5" s="468"/>
      <c r="Y5" s="468"/>
      <c r="Z5" s="468"/>
      <c r="AA5" s="468"/>
      <c r="AB5" s="468"/>
      <c r="AC5" s="468"/>
      <c r="AD5" s="468"/>
      <c r="AE5" s="469"/>
      <c r="AM5" s="2" t="s">
        <v>575</v>
      </c>
    </row>
    <row r="6" spans="1:39" ht="13.5" customHeight="1">
      <c r="A6" s="438"/>
      <c r="B6" s="474"/>
      <c r="C6" s="303"/>
      <c r="D6" s="266"/>
      <c r="E6" s="266"/>
      <c r="F6" s="267"/>
      <c r="G6" s="328" t="s">
        <v>572</v>
      </c>
      <c r="H6" s="329"/>
      <c r="I6" s="329"/>
      <c r="J6" s="330"/>
      <c r="K6" s="463" t="s">
        <v>573</v>
      </c>
      <c r="L6" s="463"/>
      <c r="M6" s="463"/>
      <c r="N6" s="463"/>
      <c r="O6" s="463"/>
      <c r="P6" s="463"/>
      <c r="Q6" s="463"/>
      <c r="R6" s="463"/>
      <c r="S6" s="463"/>
      <c r="T6" s="463"/>
      <c r="U6" s="463"/>
      <c r="V6" s="463"/>
      <c r="W6" s="463"/>
      <c r="X6" s="463"/>
      <c r="Y6" s="463"/>
      <c r="Z6" s="463"/>
      <c r="AA6" s="463"/>
      <c r="AB6" s="463"/>
      <c r="AC6" s="463"/>
      <c r="AD6" s="463"/>
      <c r="AE6" s="464"/>
    </row>
    <row r="7" spans="1:39" ht="30" customHeight="1">
      <c r="A7" s="438"/>
      <c r="B7" s="474"/>
      <c r="C7" s="303"/>
      <c r="D7" s="266"/>
      <c r="E7" s="266"/>
      <c r="F7" s="267"/>
      <c r="G7" s="333"/>
      <c r="H7" s="334"/>
      <c r="I7" s="334"/>
      <c r="J7" s="335"/>
      <c r="K7" s="465"/>
      <c r="L7" s="465"/>
      <c r="M7" s="465"/>
      <c r="N7" s="465"/>
      <c r="O7" s="465"/>
      <c r="P7" s="465"/>
      <c r="Q7" s="465"/>
      <c r="R7" s="465"/>
      <c r="S7" s="465"/>
      <c r="T7" s="465"/>
      <c r="U7" s="465"/>
      <c r="V7" s="465"/>
      <c r="W7" s="465"/>
      <c r="X7" s="465"/>
      <c r="Y7" s="465"/>
      <c r="Z7" s="465"/>
      <c r="AA7" s="465"/>
      <c r="AB7" s="465"/>
      <c r="AC7" s="465"/>
      <c r="AD7" s="465"/>
      <c r="AE7" s="466"/>
    </row>
    <row r="8" spans="1:39" ht="28.5" customHeight="1">
      <c r="A8" s="438"/>
      <c r="B8" s="474"/>
      <c r="C8" s="303" t="s">
        <v>473</v>
      </c>
      <c r="D8" s="266"/>
      <c r="E8" s="266"/>
      <c r="F8" s="267"/>
      <c r="G8" s="445"/>
      <c r="H8" s="446"/>
      <c r="I8" s="446"/>
      <c r="J8" s="446"/>
      <c r="K8" s="446"/>
      <c r="L8" s="446"/>
      <c r="M8" s="446"/>
      <c r="N8" s="446"/>
      <c r="O8" s="446"/>
      <c r="P8" s="461"/>
      <c r="Q8" s="271" t="s">
        <v>11</v>
      </c>
      <c r="R8" s="272"/>
      <c r="S8" s="272"/>
      <c r="T8" s="273"/>
      <c r="U8" s="446"/>
      <c r="V8" s="446"/>
      <c r="W8" s="446"/>
      <c r="X8" s="446"/>
      <c r="Y8" s="446"/>
      <c r="Z8" s="446"/>
      <c r="AA8" s="446"/>
      <c r="AB8" s="446"/>
      <c r="AC8" s="446"/>
      <c r="AD8" s="446"/>
      <c r="AE8" s="447"/>
    </row>
    <row r="9" spans="1:39" ht="29.1" customHeight="1">
      <c r="A9" s="438"/>
      <c r="B9" s="474"/>
      <c r="C9" s="311" t="s">
        <v>10</v>
      </c>
      <c r="D9" s="454"/>
      <c r="E9" s="454"/>
      <c r="F9" s="312"/>
      <c r="G9" s="300"/>
      <c r="H9" s="301"/>
      <c r="I9" s="301"/>
      <c r="J9" s="301"/>
      <c r="K9" s="301"/>
      <c r="L9" s="301"/>
      <c r="M9" s="301"/>
      <c r="N9" s="301"/>
      <c r="O9" s="301"/>
      <c r="P9" s="301"/>
      <c r="Q9" s="301"/>
      <c r="R9" s="301"/>
      <c r="S9" s="301"/>
      <c r="T9" s="301"/>
      <c r="U9" s="301"/>
      <c r="V9" s="301"/>
      <c r="W9" s="301"/>
      <c r="X9" s="301"/>
      <c r="Y9" s="301"/>
      <c r="Z9" s="301"/>
      <c r="AA9" s="301"/>
      <c r="AB9" s="301"/>
      <c r="AC9" s="301"/>
      <c r="AD9" s="301"/>
      <c r="AE9" s="302"/>
    </row>
    <row r="10" spans="1:39" ht="29.1" customHeight="1">
      <c r="A10" s="438"/>
      <c r="B10" s="474"/>
      <c r="C10" s="303" t="s">
        <v>571</v>
      </c>
      <c r="D10" s="267"/>
      <c r="E10" s="476"/>
      <c r="F10" s="477"/>
      <c r="G10" s="477"/>
      <c r="H10" s="477"/>
      <c r="I10" s="477"/>
      <c r="J10" s="477"/>
      <c r="K10" s="477"/>
      <c r="L10" s="477"/>
      <c r="M10" s="477"/>
      <c r="N10" s="477"/>
      <c r="O10" s="477"/>
      <c r="P10" s="478"/>
      <c r="Q10" s="271" t="s">
        <v>175</v>
      </c>
      <c r="R10" s="272"/>
      <c r="S10" s="272"/>
      <c r="T10" s="273"/>
      <c r="U10" s="268"/>
      <c r="V10" s="269"/>
      <c r="W10" s="269"/>
      <c r="X10" s="269"/>
      <c r="Y10" s="269"/>
      <c r="Z10" s="269"/>
      <c r="AA10" s="269"/>
      <c r="AB10" s="269"/>
      <c r="AC10" s="269"/>
      <c r="AD10" s="269"/>
      <c r="AE10" s="274"/>
    </row>
    <row r="11" spans="1:39">
      <c r="A11" s="56"/>
      <c r="B11" s="57"/>
      <c r="C11" s="36"/>
      <c r="D11" s="16"/>
      <c r="E11" s="16"/>
      <c r="F11" s="16"/>
      <c r="G11" s="16"/>
      <c r="H11" s="16"/>
      <c r="I11" s="16"/>
      <c r="J11" s="16"/>
      <c r="K11" s="16"/>
      <c r="L11" s="16"/>
      <c r="M11" s="16"/>
      <c r="N11" s="16"/>
      <c r="O11" s="16"/>
      <c r="P11" s="16"/>
      <c r="Q11" s="16"/>
      <c r="R11" s="16"/>
      <c r="S11" s="4"/>
      <c r="T11" s="4"/>
      <c r="U11" s="4"/>
      <c r="V11" s="4"/>
      <c r="W11" s="4"/>
      <c r="X11" s="4"/>
      <c r="Y11" s="4"/>
      <c r="Z11" s="4"/>
      <c r="AA11" s="4"/>
      <c r="AB11" s="4"/>
      <c r="AC11" s="4"/>
      <c r="AD11" s="4"/>
      <c r="AE11" s="37"/>
    </row>
    <row r="12" spans="1:39" ht="13.5" customHeight="1">
      <c r="A12" s="136"/>
      <c r="B12" s="20" t="s">
        <v>4</v>
      </c>
      <c r="C12" s="20"/>
      <c r="D12" s="442" t="s">
        <v>502</v>
      </c>
      <c r="E12" s="443"/>
      <c r="F12" s="443"/>
      <c r="G12" s="443"/>
      <c r="H12" s="443"/>
      <c r="I12" s="443"/>
      <c r="J12" s="443"/>
      <c r="K12" s="443"/>
      <c r="L12" s="443"/>
      <c r="M12" s="443"/>
      <c r="N12" s="443"/>
      <c r="O12" s="443"/>
      <c r="P12" s="443"/>
      <c r="Q12" s="443"/>
      <c r="R12" s="443"/>
      <c r="S12" s="443"/>
      <c r="T12" s="443"/>
      <c r="U12" s="443"/>
      <c r="V12" s="443"/>
      <c r="W12" s="443"/>
      <c r="X12" s="443"/>
      <c r="Y12" s="443"/>
      <c r="Z12" s="443"/>
      <c r="AA12" s="443"/>
      <c r="AB12" s="443"/>
      <c r="AC12" s="443"/>
      <c r="AD12" s="443"/>
      <c r="AE12" s="444"/>
    </row>
    <row r="13" spans="1:39" ht="13.5" customHeight="1">
      <c r="A13" s="136"/>
      <c r="B13" s="20"/>
      <c r="C13" s="20"/>
      <c r="D13" s="442" t="s">
        <v>501</v>
      </c>
      <c r="E13" s="443"/>
      <c r="F13" s="443"/>
      <c r="G13" s="443"/>
      <c r="H13" s="443"/>
      <c r="I13" s="443"/>
      <c r="J13" s="443"/>
      <c r="K13" s="443"/>
      <c r="L13" s="443"/>
      <c r="M13" s="443"/>
      <c r="N13" s="443"/>
      <c r="O13" s="443"/>
      <c r="P13" s="443"/>
      <c r="Q13" s="443"/>
      <c r="R13" s="443"/>
      <c r="S13" s="443"/>
      <c r="T13" s="443"/>
      <c r="U13" s="443"/>
      <c r="V13" s="443"/>
      <c r="W13" s="443"/>
      <c r="X13" s="443"/>
      <c r="Y13" s="443"/>
      <c r="Z13" s="443"/>
      <c r="AA13" s="443"/>
      <c r="AB13" s="443"/>
      <c r="AC13" s="443"/>
      <c r="AD13" s="443"/>
      <c r="AE13" s="444"/>
    </row>
    <row r="14" spans="1:39" ht="13.5" customHeight="1">
      <c r="A14" s="136"/>
      <c r="B14" s="20"/>
      <c r="C14" s="20"/>
      <c r="D14" s="20" t="s">
        <v>684</v>
      </c>
      <c r="E14" s="20"/>
      <c r="F14" s="20"/>
      <c r="G14" s="20"/>
      <c r="H14" s="20"/>
      <c r="I14" s="20"/>
      <c r="J14" s="20"/>
      <c r="K14" s="20"/>
      <c r="L14" s="20"/>
      <c r="M14" s="20"/>
      <c r="N14" s="20"/>
      <c r="O14" s="20"/>
      <c r="P14" s="20"/>
      <c r="Q14" s="20"/>
      <c r="R14" s="20"/>
      <c r="S14" s="20"/>
      <c r="T14" s="20"/>
      <c r="U14" s="20"/>
      <c r="V14" s="20"/>
      <c r="W14" s="20"/>
      <c r="X14" s="20"/>
      <c r="Y14" s="20"/>
      <c r="Z14" s="20"/>
      <c r="AA14" s="20"/>
      <c r="AB14" s="20"/>
      <c r="AC14" s="137"/>
      <c r="AD14" s="137"/>
      <c r="AE14" s="138"/>
    </row>
    <row r="15" spans="1:39">
      <c r="A15" s="136"/>
      <c r="B15" s="20"/>
      <c r="C15" s="20"/>
      <c r="D15" s="20" t="s">
        <v>503</v>
      </c>
      <c r="E15" s="20"/>
      <c r="F15" s="20"/>
      <c r="G15" s="20"/>
      <c r="H15" s="20"/>
      <c r="I15" s="20"/>
      <c r="J15" s="20"/>
      <c r="K15" s="20"/>
      <c r="L15" s="20"/>
      <c r="M15" s="20"/>
      <c r="N15" s="20"/>
      <c r="O15" s="20"/>
      <c r="P15" s="20"/>
      <c r="Q15" s="20"/>
      <c r="R15" s="20"/>
      <c r="S15" s="20"/>
      <c r="T15" s="20"/>
      <c r="U15" s="20"/>
      <c r="V15" s="20"/>
      <c r="W15" s="20"/>
      <c r="X15" s="20"/>
      <c r="Y15" s="20"/>
      <c r="Z15" s="20"/>
      <c r="AA15" s="20"/>
      <c r="AB15" s="20"/>
      <c r="AC15" s="137"/>
      <c r="AD15" s="137"/>
      <c r="AE15" s="138"/>
    </row>
    <row r="16" spans="1:39">
      <c r="A16" s="136"/>
      <c r="B16" s="20"/>
      <c r="C16" s="20"/>
      <c r="D16" s="20" t="s">
        <v>685</v>
      </c>
      <c r="E16" s="20"/>
      <c r="F16" s="20"/>
      <c r="G16" s="20"/>
      <c r="H16" s="20"/>
      <c r="I16" s="20"/>
      <c r="J16" s="20"/>
      <c r="K16" s="20"/>
      <c r="L16" s="20"/>
      <c r="M16" s="20"/>
      <c r="N16" s="20"/>
      <c r="O16" s="20"/>
      <c r="P16" s="20"/>
      <c r="Q16" s="20"/>
      <c r="R16" s="20"/>
      <c r="S16" s="20"/>
      <c r="T16" s="20"/>
      <c r="U16" s="20"/>
      <c r="V16" s="20"/>
      <c r="W16" s="20"/>
      <c r="X16" s="20"/>
      <c r="Y16" s="20"/>
      <c r="Z16" s="20"/>
      <c r="AA16" s="20"/>
      <c r="AB16" s="20"/>
      <c r="AC16" s="137"/>
      <c r="AD16" s="137"/>
      <c r="AE16" s="138"/>
    </row>
    <row r="17" spans="1:34" ht="14.25" thickBot="1">
      <c r="A17" s="136"/>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137"/>
      <c r="AD17" s="137"/>
      <c r="AE17" s="138"/>
    </row>
    <row r="18" spans="1:34" ht="13.5" customHeight="1">
      <c r="A18" s="424" t="s">
        <v>789</v>
      </c>
      <c r="B18" s="425"/>
      <c r="C18" s="425"/>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6"/>
    </row>
    <row r="19" spans="1:34">
      <c r="A19" s="427"/>
      <c r="B19" s="428"/>
      <c r="C19" s="428"/>
      <c r="D19" s="428"/>
      <c r="E19" s="428"/>
      <c r="F19" s="428"/>
      <c r="G19" s="428"/>
      <c r="H19" s="428"/>
      <c r="I19" s="428"/>
      <c r="J19" s="428"/>
      <c r="K19" s="428"/>
      <c r="L19" s="428"/>
      <c r="M19" s="428"/>
      <c r="N19" s="428"/>
      <c r="O19" s="428"/>
      <c r="P19" s="428"/>
      <c r="Q19" s="428"/>
      <c r="R19" s="428"/>
      <c r="S19" s="428"/>
      <c r="T19" s="428"/>
      <c r="U19" s="428"/>
      <c r="V19" s="428"/>
      <c r="W19" s="428"/>
      <c r="X19" s="428"/>
      <c r="Y19" s="428"/>
      <c r="Z19" s="428"/>
      <c r="AA19" s="428"/>
      <c r="AB19" s="428"/>
      <c r="AC19" s="428"/>
      <c r="AD19" s="428"/>
      <c r="AE19" s="429"/>
    </row>
    <row r="20" spans="1:34" ht="17.100000000000001" customHeight="1">
      <c r="A20" s="430" t="s">
        <v>791</v>
      </c>
      <c r="B20" s="431"/>
      <c r="C20" s="431"/>
      <c r="D20" s="431"/>
      <c r="E20" s="431"/>
      <c r="F20" s="431"/>
      <c r="G20" s="431"/>
      <c r="H20" s="431"/>
      <c r="I20" s="431"/>
      <c r="J20" s="431"/>
      <c r="K20" s="431"/>
      <c r="L20" s="431"/>
      <c r="M20" s="431"/>
      <c r="N20" s="431"/>
      <c r="O20" s="431"/>
      <c r="P20" s="431"/>
      <c r="Q20" s="431"/>
      <c r="R20" s="431"/>
      <c r="S20" s="431"/>
      <c r="T20" s="431"/>
      <c r="U20" s="431"/>
      <c r="V20" s="431"/>
      <c r="W20" s="431"/>
      <c r="X20" s="431"/>
      <c r="Y20" s="431"/>
      <c r="Z20" s="431"/>
      <c r="AA20" s="431"/>
      <c r="AB20" s="431"/>
      <c r="AC20" s="431"/>
      <c r="AD20" s="431"/>
      <c r="AE20" s="432"/>
      <c r="AH20" s="2" t="s">
        <v>830</v>
      </c>
    </row>
    <row r="21" spans="1:34" ht="17.100000000000001" customHeight="1">
      <c r="A21" s="433"/>
      <c r="B21" s="434"/>
      <c r="C21" s="434"/>
      <c r="D21" s="434"/>
      <c r="E21" s="434"/>
      <c r="F21" s="434"/>
      <c r="G21" s="434"/>
      <c r="H21" s="434"/>
      <c r="I21" s="434"/>
      <c r="J21" s="434"/>
      <c r="K21" s="434"/>
      <c r="L21" s="434"/>
      <c r="M21" s="434"/>
      <c r="N21" s="434"/>
      <c r="O21" s="434"/>
      <c r="P21" s="434"/>
      <c r="Q21" s="434"/>
      <c r="R21" s="434"/>
      <c r="S21" s="434"/>
      <c r="T21" s="434"/>
      <c r="U21" s="434"/>
      <c r="V21" s="434"/>
      <c r="W21" s="434"/>
      <c r="X21" s="434"/>
      <c r="Y21" s="434"/>
      <c r="Z21" s="434"/>
      <c r="AA21" s="434"/>
      <c r="AB21" s="434"/>
      <c r="AC21" s="434"/>
      <c r="AD21" s="434"/>
      <c r="AE21" s="435"/>
      <c r="AG21" s="140" t="s">
        <v>613</v>
      </c>
      <c r="AH21" s="2" t="s">
        <v>831</v>
      </c>
    </row>
    <row r="22" spans="1:34" ht="29.25" customHeight="1">
      <c r="A22" s="448" t="s">
        <v>595</v>
      </c>
      <c r="B22" s="449"/>
      <c r="C22" s="449"/>
      <c r="D22" s="449"/>
      <c r="E22" s="449"/>
      <c r="F22" s="449"/>
      <c r="G22" s="449"/>
      <c r="H22" s="449"/>
      <c r="I22" s="450"/>
      <c r="J22" s="451"/>
      <c r="K22" s="452"/>
      <c r="L22" s="452"/>
      <c r="M22" s="452"/>
      <c r="N22" s="452"/>
      <c r="O22" s="452"/>
      <c r="P22" s="452"/>
      <c r="Q22" s="452"/>
      <c r="R22" s="452"/>
      <c r="S22" s="452"/>
      <c r="T22" s="452"/>
      <c r="U22" s="452"/>
      <c r="V22" s="452"/>
      <c r="W22" s="452"/>
      <c r="X22" s="452"/>
      <c r="Y22" s="452"/>
      <c r="Z22" s="452"/>
      <c r="AA22" s="452"/>
      <c r="AB22" s="452"/>
      <c r="AC22" s="452"/>
      <c r="AD22" s="452"/>
      <c r="AE22" s="453"/>
      <c r="AG22" s="139" t="str">
        <f>IF(J22="","",IF(J22="登録する","yes","no"))</f>
        <v/>
      </c>
    </row>
    <row r="23" spans="1:34" ht="11.25" customHeight="1">
      <c r="A23" s="40"/>
      <c r="B23" s="4"/>
      <c r="C23" s="4"/>
      <c r="D23" s="19"/>
      <c r="E23" s="16"/>
      <c r="F23" s="16"/>
      <c r="G23" s="16"/>
      <c r="H23" s="16"/>
      <c r="I23" s="16"/>
      <c r="J23" s="16"/>
      <c r="K23" s="16"/>
      <c r="L23" s="16"/>
      <c r="M23" s="4"/>
      <c r="N23" s="4"/>
      <c r="O23" s="4"/>
      <c r="P23" s="4"/>
      <c r="Q23" s="4"/>
      <c r="R23" s="4"/>
      <c r="S23" s="16"/>
      <c r="T23" s="16"/>
      <c r="U23" s="16"/>
      <c r="V23" s="16"/>
      <c r="W23" s="16"/>
      <c r="X23" s="16"/>
      <c r="Y23" s="16"/>
      <c r="Z23" s="16"/>
      <c r="AA23" s="4"/>
      <c r="AB23" s="4"/>
      <c r="AC23" s="4"/>
      <c r="AD23" s="4"/>
      <c r="AE23" s="37"/>
    </row>
    <row r="24" spans="1:34" ht="13.5" customHeight="1">
      <c r="A24" s="40"/>
      <c r="B24" s="20" t="s">
        <v>4</v>
      </c>
      <c r="C24" s="20"/>
      <c r="D24" s="20" t="s">
        <v>686</v>
      </c>
      <c r="E24" s="20"/>
      <c r="F24" s="20"/>
      <c r="G24" s="4"/>
      <c r="H24" s="4"/>
      <c r="I24" s="4"/>
      <c r="J24" s="4"/>
      <c r="K24" s="4"/>
      <c r="L24" s="4"/>
      <c r="M24" s="4"/>
      <c r="N24" s="4"/>
      <c r="O24" s="4"/>
      <c r="P24" s="4"/>
      <c r="Q24" s="4"/>
      <c r="R24" s="4"/>
      <c r="S24" s="4"/>
      <c r="T24" s="4"/>
      <c r="U24" s="4"/>
      <c r="V24" s="4"/>
      <c r="W24" s="4"/>
      <c r="X24" s="4"/>
      <c r="Y24" s="4"/>
      <c r="Z24" s="4"/>
      <c r="AA24" s="4"/>
      <c r="AB24" s="4"/>
      <c r="AC24" s="4"/>
      <c r="AD24" s="4"/>
      <c r="AE24" s="37"/>
    </row>
    <row r="25" spans="1:34" ht="7.5" customHeight="1">
      <c r="A25" s="40"/>
      <c r="B25" s="20"/>
      <c r="C25" s="135"/>
      <c r="E25" s="20"/>
      <c r="F25" s="20"/>
      <c r="G25" s="4"/>
      <c r="H25" s="4"/>
      <c r="I25" s="4"/>
      <c r="J25" s="4"/>
      <c r="K25" s="4"/>
      <c r="L25" s="4"/>
      <c r="M25" s="4"/>
      <c r="N25" s="4"/>
      <c r="O25" s="4"/>
      <c r="P25" s="4"/>
      <c r="Q25" s="4"/>
      <c r="R25" s="4"/>
      <c r="S25" s="4"/>
      <c r="T25" s="4"/>
      <c r="U25" s="4"/>
      <c r="V25" s="4"/>
      <c r="W25" s="4"/>
      <c r="X25" s="4"/>
      <c r="Y25" s="4"/>
      <c r="Z25" s="4"/>
      <c r="AA25" s="4"/>
      <c r="AB25" s="4"/>
      <c r="AC25" s="4"/>
      <c r="AD25" s="4"/>
      <c r="AE25" s="37"/>
    </row>
    <row r="26" spans="1:34" ht="13.5" customHeight="1">
      <c r="A26" s="40"/>
      <c r="B26" s="20"/>
      <c r="D26" s="20" t="s">
        <v>687</v>
      </c>
      <c r="E26" s="20"/>
      <c r="F26" s="20"/>
      <c r="G26" s="4"/>
      <c r="H26" s="4"/>
      <c r="I26" s="4"/>
      <c r="J26" s="4"/>
      <c r="K26" s="4"/>
      <c r="L26" s="4"/>
      <c r="M26" s="4"/>
      <c r="N26" s="4"/>
      <c r="O26" s="4"/>
      <c r="P26" s="4"/>
      <c r="Q26" s="4"/>
      <c r="R26" s="4"/>
      <c r="S26" s="4"/>
      <c r="T26" s="4"/>
      <c r="U26" s="4"/>
      <c r="V26" s="4"/>
      <c r="W26" s="4"/>
      <c r="X26" s="4"/>
      <c r="Y26" s="4"/>
      <c r="Z26" s="4"/>
      <c r="AA26" s="4"/>
      <c r="AB26" s="4"/>
      <c r="AC26" s="4"/>
      <c r="AD26" s="4"/>
      <c r="AE26" s="37"/>
    </row>
    <row r="27" spans="1:34" ht="13.5" customHeight="1">
      <c r="A27" s="40"/>
      <c r="B27" s="20"/>
      <c r="C27" s="20" t="s">
        <v>688</v>
      </c>
      <c r="D27" s="20"/>
      <c r="E27" s="20"/>
      <c r="F27" s="20"/>
      <c r="G27" s="4"/>
      <c r="H27" s="4"/>
      <c r="I27" s="4"/>
      <c r="J27" s="4"/>
      <c r="K27" s="4"/>
      <c r="L27" s="4"/>
      <c r="M27" s="4"/>
      <c r="N27" s="4"/>
      <c r="O27" s="4"/>
      <c r="P27" s="4"/>
      <c r="Q27" s="4"/>
      <c r="R27" s="4"/>
      <c r="S27" s="4"/>
      <c r="T27" s="4"/>
      <c r="U27" s="4"/>
      <c r="V27" s="4"/>
      <c r="W27" s="4"/>
      <c r="X27" s="4"/>
      <c r="Y27" s="4"/>
      <c r="Z27" s="4"/>
      <c r="AA27" s="4"/>
      <c r="AB27" s="4"/>
      <c r="AC27" s="4"/>
      <c r="AD27" s="4"/>
      <c r="AE27" s="37"/>
    </row>
    <row r="28" spans="1:34" ht="14.25" thickBot="1">
      <c r="A28" s="40"/>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37"/>
    </row>
    <row r="29" spans="1:34">
      <c r="A29" s="455" t="s">
        <v>790</v>
      </c>
      <c r="B29" s="456"/>
      <c r="C29" s="456"/>
      <c r="D29" s="456"/>
      <c r="E29" s="456"/>
      <c r="F29" s="456"/>
      <c r="G29" s="456"/>
      <c r="H29" s="456"/>
      <c r="I29" s="456"/>
      <c r="J29" s="456"/>
      <c r="K29" s="456"/>
      <c r="L29" s="456"/>
      <c r="M29" s="456"/>
      <c r="N29" s="456"/>
      <c r="O29" s="456"/>
      <c r="P29" s="456"/>
      <c r="Q29" s="456"/>
      <c r="R29" s="456"/>
      <c r="S29" s="456"/>
      <c r="T29" s="456"/>
      <c r="U29" s="456"/>
      <c r="V29" s="456"/>
      <c r="W29" s="456"/>
      <c r="X29" s="456"/>
      <c r="Y29" s="456"/>
      <c r="Z29" s="456"/>
      <c r="AA29" s="456"/>
      <c r="AB29" s="456"/>
      <c r="AC29" s="456"/>
      <c r="AD29" s="456"/>
      <c r="AE29" s="457"/>
    </row>
    <row r="30" spans="1:34">
      <c r="A30" s="458"/>
      <c r="B30" s="459"/>
      <c r="C30" s="459"/>
      <c r="D30" s="459"/>
      <c r="E30" s="459"/>
      <c r="F30" s="459"/>
      <c r="G30" s="459"/>
      <c r="H30" s="459"/>
      <c r="I30" s="459"/>
      <c r="J30" s="459"/>
      <c r="K30" s="459"/>
      <c r="L30" s="459"/>
      <c r="M30" s="459"/>
      <c r="N30" s="459"/>
      <c r="O30" s="459"/>
      <c r="P30" s="459"/>
      <c r="Q30" s="459"/>
      <c r="R30" s="459"/>
      <c r="S30" s="459"/>
      <c r="T30" s="459"/>
      <c r="U30" s="459"/>
      <c r="V30" s="459"/>
      <c r="W30" s="459"/>
      <c r="X30" s="459"/>
      <c r="Y30" s="459"/>
      <c r="Z30" s="459"/>
      <c r="AA30" s="459"/>
      <c r="AB30" s="459"/>
      <c r="AC30" s="459"/>
      <c r="AD30" s="459"/>
      <c r="AE30" s="460"/>
    </row>
    <row r="31" spans="1:34" ht="28.5" customHeight="1">
      <c r="A31" s="436" t="s">
        <v>476</v>
      </c>
      <c r="B31" s="437"/>
      <c r="C31" s="303" t="s">
        <v>477</v>
      </c>
      <c r="D31" s="266"/>
      <c r="E31" s="266"/>
      <c r="F31" s="266"/>
      <c r="G31" s="266"/>
      <c r="H31" s="267"/>
      <c r="I31" s="445"/>
      <c r="J31" s="446"/>
      <c r="K31" s="446"/>
      <c r="L31" s="446"/>
      <c r="M31" s="446"/>
      <c r="N31" s="446"/>
      <c r="O31" s="446"/>
      <c r="P31" s="446"/>
      <c r="Q31" s="446"/>
      <c r="R31" s="446"/>
      <c r="S31" s="446"/>
      <c r="T31" s="446"/>
      <c r="U31" s="446"/>
      <c r="V31" s="446"/>
      <c r="W31" s="446"/>
      <c r="X31" s="446"/>
      <c r="Y31" s="446"/>
      <c r="Z31" s="446"/>
      <c r="AA31" s="446"/>
      <c r="AB31" s="446"/>
      <c r="AC31" s="446"/>
      <c r="AD31" s="446"/>
      <c r="AE31" s="447"/>
      <c r="AH31" s="2" t="s">
        <v>635</v>
      </c>
    </row>
    <row r="32" spans="1:34" ht="24" customHeight="1">
      <c r="A32" s="438"/>
      <c r="B32" s="439"/>
      <c r="C32" s="2" t="s">
        <v>634</v>
      </c>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37"/>
      <c r="AH32" s="2" t="s">
        <v>161</v>
      </c>
    </row>
    <row r="33" spans="1:34" ht="18.75" customHeight="1">
      <c r="A33" s="440"/>
      <c r="B33" s="439"/>
      <c r="C33" s="421" t="s">
        <v>13</v>
      </c>
      <c r="D33" s="413"/>
      <c r="E33" s="413"/>
      <c r="F33" s="414"/>
      <c r="G33" s="328" t="s">
        <v>174</v>
      </c>
      <c r="H33" s="329"/>
      <c r="I33" s="329"/>
      <c r="J33" s="330"/>
      <c r="K33" s="467"/>
      <c r="L33" s="468"/>
      <c r="M33" s="468"/>
      <c r="N33" s="468"/>
      <c r="O33" s="468"/>
      <c r="P33" s="468"/>
      <c r="Q33" s="468"/>
      <c r="R33" s="468"/>
      <c r="S33" s="468"/>
      <c r="T33" s="468"/>
      <c r="U33" s="468"/>
      <c r="V33" s="468"/>
      <c r="W33" s="468"/>
      <c r="X33" s="468"/>
      <c r="Y33" s="468"/>
      <c r="Z33" s="468"/>
      <c r="AA33" s="468"/>
      <c r="AB33" s="468"/>
      <c r="AC33" s="468"/>
      <c r="AD33" s="468"/>
      <c r="AE33" s="469"/>
      <c r="AH33" s="2" t="s">
        <v>633</v>
      </c>
    </row>
    <row r="34" spans="1:34" ht="13.5" customHeight="1">
      <c r="A34" s="440"/>
      <c r="B34" s="441"/>
      <c r="C34" s="462"/>
      <c r="D34" s="326"/>
      <c r="E34" s="326"/>
      <c r="F34" s="327"/>
      <c r="G34" s="328" t="s">
        <v>572</v>
      </c>
      <c r="H34" s="329"/>
      <c r="I34" s="329"/>
      <c r="J34" s="330"/>
      <c r="K34" s="463" t="s">
        <v>573</v>
      </c>
      <c r="L34" s="463"/>
      <c r="M34" s="463"/>
      <c r="N34" s="463"/>
      <c r="O34" s="463"/>
      <c r="P34" s="463"/>
      <c r="Q34" s="463"/>
      <c r="R34" s="463"/>
      <c r="S34" s="463"/>
      <c r="T34" s="463"/>
      <c r="U34" s="463"/>
      <c r="V34" s="463"/>
      <c r="W34" s="463"/>
      <c r="X34" s="463"/>
      <c r="Y34" s="463"/>
      <c r="Z34" s="463"/>
      <c r="AA34" s="463"/>
      <c r="AB34" s="463"/>
      <c r="AC34" s="463"/>
      <c r="AD34" s="463"/>
      <c r="AE34" s="464"/>
    </row>
    <row r="35" spans="1:34" ht="30" customHeight="1">
      <c r="A35" s="440"/>
      <c r="B35" s="441"/>
      <c r="C35" s="311"/>
      <c r="D35" s="298"/>
      <c r="E35" s="298"/>
      <c r="F35" s="299"/>
      <c r="G35" s="333"/>
      <c r="H35" s="334"/>
      <c r="I35" s="334"/>
      <c r="J35" s="335"/>
      <c r="K35" s="465"/>
      <c r="L35" s="465"/>
      <c r="M35" s="465"/>
      <c r="N35" s="465"/>
      <c r="O35" s="465"/>
      <c r="P35" s="465"/>
      <c r="Q35" s="465"/>
      <c r="R35" s="465"/>
      <c r="S35" s="465"/>
      <c r="T35" s="465"/>
      <c r="U35" s="465"/>
      <c r="V35" s="465"/>
      <c r="W35" s="465"/>
      <c r="X35" s="465"/>
      <c r="Y35" s="465"/>
      <c r="Z35" s="465"/>
      <c r="AA35" s="465"/>
      <c r="AB35" s="465"/>
      <c r="AC35" s="465"/>
      <c r="AD35" s="465"/>
      <c r="AE35" s="466"/>
    </row>
    <row r="36" spans="1:34" ht="28.5" customHeight="1">
      <c r="A36" s="440"/>
      <c r="B36" s="441"/>
      <c r="C36" s="303" t="s">
        <v>473</v>
      </c>
      <c r="D36" s="266"/>
      <c r="E36" s="266"/>
      <c r="F36" s="267"/>
      <c r="G36" s="445"/>
      <c r="H36" s="446"/>
      <c r="I36" s="446"/>
      <c r="J36" s="446"/>
      <c r="K36" s="446"/>
      <c r="L36" s="446"/>
      <c r="M36" s="446"/>
      <c r="N36" s="446"/>
      <c r="O36" s="446"/>
      <c r="P36" s="461"/>
      <c r="Q36" s="271" t="s">
        <v>11</v>
      </c>
      <c r="R36" s="272"/>
      <c r="S36" s="272"/>
      <c r="T36" s="273"/>
      <c r="U36" s="445"/>
      <c r="V36" s="446"/>
      <c r="W36" s="446"/>
      <c r="X36" s="446"/>
      <c r="Y36" s="446"/>
      <c r="Z36" s="446"/>
      <c r="AA36" s="446"/>
      <c r="AB36" s="446"/>
      <c r="AC36" s="446"/>
      <c r="AD36" s="446"/>
      <c r="AE36" s="447"/>
    </row>
    <row r="37" spans="1:34" ht="28.5" customHeight="1">
      <c r="A37" s="440"/>
      <c r="B37" s="439"/>
      <c r="C37" s="311" t="s">
        <v>164</v>
      </c>
      <c r="D37" s="454"/>
      <c r="E37" s="454"/>
      <c r="F37" s="312"/>
      <c r="G37" s="300"/>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2"/>
    </row>
    <row r="38" spans="1:34">
      <c r="A38" s="41"/>
      <c r="B38" s="50"/>
      <c r="C38" s="36"/>
      <c r="D38" s="36"/>
      <c r="E38" s="36"/>
      <c r="F38" s="36"/>
      <c r="G38" s="36"/>
      <c r="H38" s="36"/>
      <c r="I38" s="42"/>
      <c r="J38" s="42"/>
      <c r="K38" s="42"/>
      <c r="L38" s="42"/>
      <c r="M38" s="42"/>
      <c r="N38" s="42"/>
      <c r="O38" s="42"/>
      <c r="P38" s="42"/>
      <c r="Q38" s="42"/>
      <c r="R38" s="42"/>
      <c r="S38" s="42"/>
      <c r="T38" s="43"/>
      <c r="U38" s="42"/>
      <c r="V38" s="42"/>
      <c r="W38" s="42"/>
      <c r="X38" s="42"/>
      <c r="Y38" s="42"/>
      <c r="Z38" s="42"/>
      <c r="AA38" s="42"/>
      <c r="AB38" s="42"/>
      <c r="AC38" s="42"/>
      <c r="AD38" s="42"/>
      <c r="AE38" s="44"/>
    </row>
    <row r="39" spans="1:34">
      <c r="A39" s="40"/>
      <c r="B39" s="20" t="s">
        <v>4</v>
      </c>
      <c r="C39" s="20"/>
      <c r="D39" s="20" t="s">
        <v>793</v>
      </c>
      <c r="E39" s="4"/>
      <c r="F39" s="4"/>
      <c r="G39" s="4"/>
      <c r="H39" s="4"/>
      <c r="I39" s="4"/>
      <c r="J39" s="4"/>
      <c r="K39" s="4"/>
      <c r="L39" s="4"/>
      <c r="M39" s="4"/>
      <c r="N39" s="4"/>
      <c r="O39" s="4"/>
      <c r="P39" s="4"/>
      <c r="Q39" s="4"/>
      <c r="R39" s="4"/>
      <c r="S39" s="4"/>
      <c r="T39" s="4"/>
      <c r="U39" s="4"/>
      <c r="V39" s="4"/>
      <c r="W39" s="4"/>
      <c r="X39" s="4"/>
      <c r="Y39" s="4"/>
      <c r="Z39" s="4"/>
      <c r="AA39" s="4"/>
      <c r="AB39" s="4"/>
      <c r="AC39" s="4"/>
      <c r="AD39" s="4"/>
      <c r="AE39" s="37"/>
    </row>
    <row r="40" spans="1:34" ht="14.25" thickBot="1">
      <c r="A40" s="45"/>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7"/>
    </row>
  </sheetData>
  <sheetProtection selectLockedCells="1"/>
  <mergeCells count="44">
    <mergeCell ref="D12:AE12"/>
    <mergeCell ref="U10:AE10"/>
    <mergeCell ref="K7:AE7"/>
    <mergeCell ref="C8:F8"/>
    <mergeCell ref="C9:F9"/>
    <mergeCell ref="C10:D10"/>
    <mergeCell ref="A2:AE3"/>
    <mergeCell ref="A4:B10"/>
    <mergeCell ref="C5:F7"/>
    <mergeCell ref="G9:AE9"/>
    <mergeCell ref="C4:I4"/>
    <mergeCell ref="J5:AE5"/>
    <mergeCell ref="G5:I5"/>
    <mergeCell ref="G7:J7"/>
    <mergeCell ref="G6:J6"/>
    <mergeCell ref="K6:AE6"/>
    <mergeCell ref="Q8:T8"/>
    <mergeCell ref="U8:AE8"/>
    <mergeCell ref="G8:P8"/>
    <mergeCell ref="J4:AE4"/>
    <mergeCell ref="Q10:T10"/>
    <mergeCell ref="E10:P10"/>
    <mergeCell ref="G34:J34"/>
    <mergeCell ref="K34:AE34"/>
    <mergeCell ref="G35:J35"/>
    <mergeCell ref="K35:AE35"/>
    <mergeCell ref="G33:J33"/>
    <mergeCell ref="K33:AE33"/>
    <mergeCell ref="A18:AE19"/>
    <mergeCell ref="A20:AE21"/>
    <mergeCell ref="A31:B37"/>
    <mergeCell ref="D13:AE13"/>
    <mergeCell ref="I31:AE31"/>
    <mergeCell ref="A22:I22"/>
    <mergeCell ref="J22:AE22"/>
    <mergeCell ref="G37:AE37"/>
    <mergeCell ref="C31:H31"/>
    <mergeCell ref="C37:F37"/>
    <mergeCell ref="A29:AE30"/>
    <mergeCell ref="G36:P36"/>
    <mergeCell ref="Q36:T36"/>
    <mergeCell ref="U36:AE36"/>
    <mergeCell ref="C36:F36"/>
    <mergeCell ref="C33:F35"/>
  </mergeCells>
  <phoneticPr fontId="2"/>
  <conditionalFormatting sqref="C38:H38">
    <cfRule type="expression" dxfId="185" priority="135" stopIfTrue="1">
      <formula>#REF!=1</formula>
    </cfRule>
    <cfRule type="expression" dxfId="184" priority="136" stopIfTrue="1">
      <formula>#REF!=2</formula>
    </cfRule>
  </conditionalFormatting>
  <conditionalFormatting sqref="E23:L27">
    <cfRule type="expression" dxfId="183" priority="54" stopIfTrue="1">
      <formula>C23=2</formula>
    </cfRule>
    <cfRule type="expression" dxfId="182" priority="55" stopIfTrue="1">
      <formula>C23=1</formula>
    </cfRule>
  </conditionalFormatting>
  <conditionalFormatting sqref="E10:P10">
    <cfRule type="expression" dxfId="181" priority="4">
      <formula>E10&lt;&gt;""</formula>
    </cfRule>
  </conditionalFormatting>
  <conditionalFormatting sqref="G7">
    <cfRule type="cellIs" dxfId="180" priority="2" stopIfTrue="1" operator="notEqual">
      <formula>""</formula>
    </cfRule>
  </conditionalFormatting>
  <conditionalFormatting sqref="G35">
    <cfRule type="cellIs" dxfId="179" priority="1" stopIfTrue="1" operator="notEqual">
      <formula>""</formula>
    </cfRule>
  </conditionalFormatting>
  <conditionalFormatting sqref="G36:G37 K33 K35 U36">
    <cfRule type="cellIs" dxfId="178" priority="43" operator="notEqual">
      <formula>""</formula>
    </cfRule>
  </conditionalFormatting>
  <conditionalFormatting sqref="G8:P8">
    <cfRule type="expression" dxfId="177" priority="6">
      <formula>G8&lt;&gt;""</formula>
    </cfRule>
  </conditionalFormatting>
  <conditionalFormatting sqref="G36:P36">
    <cfRule type="expression" dxfId="176" priority="36">
      <formula>G36&lt;&gt;""</formula>
    </cfRule>
  </conditionalFormatting>
  <conditionalFormatting sqref="G9:AE9">
    <cfRule type="expression" dxfId="175" priority="5">
      <formula>G9&lt;&gt;""</formula>
    </cfRule>
  </conditionalFormatting>
  <conditionalFormatting sqref="G37:AE37">
    <cfRule type="cellIs" dxfId="174" priority="42" stopIfTrue="1" operator="notEqual">
      <formula>""</formula>
    </cfRule>
  </conditionalFormatting>
  <conditionalFormatting sqref="I31:AE31">
    <cfRule type="expression" dxfId="173" priority="14">
      <formula>I31&lt;&gt;""</formula>
    </cfRule>
  </conditionalFormatting>
  <conditionalFormatting sqref="J22">
    <cfRule type="expression" dxfId="172" priority="39">
      <formula>J22&lt;&gt;""</formula>
    </cfRule>
  </conditionalFormatting>
  <conditionalFormatting sqref="J4:AE5">
    <cfRule type="expression" dxfId="171" priority="10">
      <formula>J4&lt;&gt;""</formula>
    </cfRule>
  </conditionalFormatting>
  <conditionalFormatting sqref="K7:AE7">
    <cfRule type="expression" dxfId="170" priority="8">
      <formula>K7&lt;&gt;""</formula>
    </cfRule>
  </conditionalFormatting>
  <conditionalFormatting sqref="K35:AE35">
    <cfRule type="expression" dxfId="169" priority="37">
      <formula>K35&lt;&gt;""</formula>
    </cfRule>
  </conditionalFormatting>
  <conditionalFormatting sqref="S23:Z27">
    <cfRule type="expression" dxfId="168" priority="56" stopIfTrue="1">
      <formula>C23=2</formula>
    </cfRule>
    <cfRule type="expression" dxfId="167" priority="57" stopIfTrue="1">
      <formula>C23=1</formula>
    </cfRule>
  </conditionalFormatting>
  <conditionalFormatting sqref="U8:AE8">
    <cfRule type="expression" dxfId="166" priority="7">
      <formula>U8&lt;&gt;""</formula>
    </cfRule>
  </conditionalFormatting>
  <conditionalFormatting sqref="U10:AE10">
    <cfRule type="expression" dxfId="165" priority="3">
      <formula>U10&lt;&gt;""</formula>
    </cfRule>
  </conditionalFormatting>
  <conditionalFormatting sqref="U36:AE36">
    <cfRule type="expression" dxfId="164" priority="35">
      <formula>U36&lt;&gt;""</formula>
    </cfRule>
  </conditionalFormatting>
  <dataValidations xWindow="36" yWindow="271" count="10">
    <dataValidation imeMode="off" allowBlank="1" showInputMessage="1" showErrorMessage="1" prompt="ファクシミリ番号を入力してください。" sqref="J11:R11" xr:uid="{00000000-0002-0000-0300-000000000000}"/>
    <dataValidation type="custom" imeMode="on" allowBlank="1" showInputMessage="1" showErrorMessage="1" error="すべて全角で入力してください。" sqref="G37:AE37 G9:AE9 K35:AE35" xr:uid="{00000000-0002-0000-0300-000001000000}">
      <formula1>G9=DBCS(G9)</formula1>
    </dataValidation>
    <dataValidation type="textLength" imeMode="disabled" operator="equal" allowBlank="1" showInputMessage="1" showErrorMessage="1" error="以下を確認してください。_x000a_・郵便番号は７桁です。_x000a_・ハイフンで区切ってください。" sqref="K33:AE33 J5:AE5" xr:uid="{00000000-0002-0000-0300-000003000000}">
      <formula1>8</formula1>
    </dataValidation>
    <dataValidation type="list" allowBlank="1" showInputMessage="1" showErrorMessage="1" sqref="I31:AE31" xr:uid="{00000000-0002-0000-0300-000004000000}">
      <formula1>$AH$31:$AH$33</formula1>
    </dataValidation>
    <dataValidation type="list" allowBlank="1" showInputMessage="1" showErrorMessage="1" sqref="J4:AE4" xr:uid="{00000000-0002-0000-0300-000005000000}">
      <formula1>"代理人を置く,代理人を置かない"</formula1>
    </dataValidation>
    <dataValidation type="custom" imeMode="on" allowBlank="1" showInputMessage="1" showErrorMessage="1" error="すべて全角で入力してください。" sqref="K7:AE7" xr:uid="{00000000-0002-0000-0300-000007000000}">
      <formula1>AND(K7=DBCS(K7))</formula1>
    </dataValidation>
    <dataValidation type="custom" imeMode="on" allowBlank="1" showInputMessage="1" showErrorMessage="1" error="・全角で入力してください。" sqref="E10:P10 U10:AE10" xr:uid="{00000000-0002-0000-0300-000009000000}">
      <formula1>E10=DBCS(E10)</formula1>
    </dataValidation>
    <dataValidation imeMode="disabled" allowBlank="1" showInputMessage="1" showErrorMessage="1" sqref="U8:AE8 G36:P36 U36:AE36 G8:P8" xr:uid="{15DC6CB0-32D8-4FE9-8B8F-CB28AAE1D5E0}"/>
    <dataValidation type="textLength" imeMode="on" operator="greaterThanOrEqual" allowBlank="1" showInputMessage="1" showErrorMessage="1" error="「都」「道」「府」「県」まで記入してください。_x000a_【良い例】新潟県_x000a_【悪い例】新潟" sqref="G7:J7 G35:J35" xr:uid="{B54ECE7A-812A-4236-B110-4D73200EABF6}">
      <formula1>3</formula1>
    </dataValidation>
    <dataValidation type="list" allowBlank="1" showErrorMessage="1" prompt="右のボタンから「登録する」か「登録しない」か選択してください。" sqref="J22:AE22" xr:uid="{55E3A0D9-B490-4986-A5F2-9CCFE1F37A4E}">
      <formula1>$AH$20:$AH$21</formula1>
    </dataValidation>
  </dataValidations>
  <pageMargins left="0.78740157480314965" right="0.39370078740157483" top="0.78740157480314965" bottom="0.78740157480314965" header="0.51181102362204722" footer="0.51181102362204722"/>
  <pageSetup paperSize="9" fitToWidth="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84"/>
  <sheetViews>
    <sheetView showGridLines="0" view="pageBreakPreview" topLeftCell="A13" zoomScaleNormal="100" zoomScaleSheetLayoutView="100" workbookViewId="0">
      <selection activeCell="D145" sqref="D145"/>
    </sheetView>
  </sheetViews>
  <sheetFormatPr defaultColWidth="9" defaultRowHeight="13.5"/>
  <cols>
    <col min="1" max="1" width="2.75" style="125" customWidth="1"/>
    <col min="2" max="2" width="13.875" style="122" customWidth="1"/>
    <col min="3" max="3" width="2.875" style="108" customWidth="1"/>
    <col min="4" max="4" width="16.875" style="122" customWidth="1"/>
    <col min="5" max="5" width="2.75" style="108" customWidth="1"/>
    <col min="6" max="6" width="2.875" style="125" customWidth="1"/>
    <col min="7" max="7" width="16.125" style="122" customWidth="1"/>
    <col min="8" max="8" width="1.375" style="108" customWidth="1"/>
    <col min="9" max="9" width="2.875" style="108" customWidth="1"/>
    <col min="10" max="10" width="3" style="127" customWidth="1"/>
    <col min="11" max="11" width="16.125" style="133" customWidth="1"/>
    <col min="12" max="12" width="1.375" style="134" customWidth="1"/>
    <col min="13" max="13" width="2.875" style="134" customWidth="1"/>
    <col min="14" max="14" width="3" style="127" customWidth="1"/>
    <col min="15" max="15" width="16.125" style="133" customWidth="1"/>
    <col min="16" max="16" width="1.25" style="134" customWidth="1"/>
    <col min="17" max="17" width="1.25" style="122" customWidth="1"/>
    <col min="18" max="19" width="6.625" style="125" customWidth="1"/>
    <col min="20" max="20" width="7.25" style="149" customWidth="1"/>
    <col min="21" max="22" width="7.25" style="143" customWidth="1"/>
    <col min="23" max="23" width="0" style="126" hidden="1" customWidth="1"/>
    <col min="24" max="16384" width="9" style="108"/>
  </cols>
  <sheetData>
    <row r="1" spans="1:23">
      <c r="A1" s="97" t="s">
        <v>179</v>
      </c>
      <c r="B1" s="98"/>
      <c r="C1" s="99" t="s">
        <v>186</v>
      </c>
      <c r="D1" s="98"/>
      <c r="E1" s="100"/>
      <c r="F1" s="101"/>
      <c r="G1" s="102"/>
      <c r="H1" s="100"/>
      <c r="I1" s="100"/>
      <c r="J1" s="103"/>
      <c r="K1" s="104"/>
      <c r="L1" s="105"/>
      <c r="M1" s="105"/>
      <c r="N1" s="103"/>
      <c r="O1" s="104"/>
      <c r="P1" s="105"/>
      <c r="Q1" s="106"/>
      <c r="R1" s="107"/>
      <c r="S1" s="108"/>
      <c r="T1" s="143"/>
      <c r="W1" s="109" t="s">
        <v>636</v>
      </c>
    </row>
    <row r="2" spans="1:23" ht="24.75" customHeight="1" thickBot="1">
      <c r="A2" s="110" t="s">
        <v>508</v>
      </c>
      <c r="B2" s="111" t="s">
        <v>15</v>
      </c>
      <c r="C2" s="112" t="s">
        <v>508</v>
      </c>
      <c r="D2" s="113" t="s">
        <v>15</v>
      </c>
      <c r="E2" s="114" t="s">
        <v>22</v>
      </c>
      <c r="F2" s="115"/>
      <c r="G2" s="116"/>
      <c r="H2" s="114"/>
      <c r="I2" s="114"/>
      <c r="J2" s="117"/>
      <c r="K2" s="118"/>
      <c r="L2" s="119"/>
      <c r="M2" s="119"/>
      <c r="N2" s="117"/>
      <c r="O2" s="118"/>
      <c r="P2" s="119"/>
      <c r="Q2" s="120"/>
      <c r="R2" s="121"/>
      <c r="S2" s="108"/>
      <c r="T2" s="139" t="s">
        <v>613</v>
      </c>
      <c r="W2" s="109" t="s">
        <v>637</v>
      </c>
    </row>
    <row r="3" spans="1:23" ht="18.75" customHeight="1">
      <c r="A3" s="173">
        <v>1</v>
      </c>
      <c r="B3" s="480" t="s">
        <v>180</v>
      </c>
      <c r="C3" s="174">
        <v>1</v>
      </c>
      <c r="D3" s="175" t="s">
        <v>187</v>
      </c>
      <c r="E3" s="165" t="s">
        <v>638</v>
      </c>
      <c r="F3" s="176">
        <v>1</v>
      </c>
      <c r="G3" s="122" t="s">
        <v>188</v>
      </c>
      <c r="I3" s="229" t="s">
        <v>822</v>
      </c>
      <c r="J3" s="127">
        <v>2</v>
      </c>
      <c r="K3" s="133" t="s">
        <v>189</v>
      </c>
      <c r="M3" s="169" t="s">
        <v>638</v>
      </c>
      <c r="N3" s="127">
        <v>3</v>
      </c>
      <c r="O3" s="133" t="s">
        <v>509</v>
      </c>
      <c r="Q3" s="123"/>
      <c r="R3" s="479"/>
      <c r="S3" s="124"/>
      <c r="T3" s="144" t="str">
        <f>IF(E3="■","010101","")</f>
        <v/>
      </c>
      <c r="U3" s="145" t="str">
        <f>IF(I3="■","010102","")</f>
        <v/>
      </c>
      <c r="V3" s="159" t="str">
        <f>IF(M3="■","010103","")</f>
        <v/>
      </c>
      <c r="W3" s="107"/>
    </row>
    <row r="4" spans="1:23">
      <c r="A4" s="177"/>
      <c r="B4" s="480"/>
      <c r="C4" s="178"/>
      <c r="D4" s="175"/>
      <c r="E4" s="165" t="s">
        <v>638</v>
      </c>
      <c r="F4" s="125">
        <v>4</v>
      </c>
      <c r="G4" s="122" t="s">
        <v>190</v>
      </c>
      <c r="I4" s="166" t="s">
        <v>638</v>
      </c>
      <c r="J4" s="127">
        <v>5</v>
      </c>
      <c r="K4" s="133" t="s">
        <v>191</v>
      </c>
      <c r="M4" s="126"/>
      <c r="Q4" s="123"/>
      <c r="R4" s="479"/>
      <c r="T4" s="146" t="str">
        <f>IF(E4="■","010104","")</f>
        <v/>
      </c>
      <c r="U4" s="143" t="str">
        <f>IF(I4="■","010105","")</f>
        <v/>
      </c>
      <c r="V4" s="160"/>
    </row>
    <row r="5" spans="1:23">
      <c r="A5" s="179"/>
      <c r="B5" s="180"/>
      <c r="C5" s="178"/>
      <c r="D5" s="181"/>
      <c r="E5" s="167"/>
      <c r="I5" s="182"/>
      <c r="M5" s="183"/>
      <c r="Q5" s="123"/>
      <c r="R5" s="479"/>
      <c r="T5" s="146"/>
      <c r="V5" s="160"/>
    </row>
    <row r="6" spans="1:23">
      <c r="A6" s="179"/>
      <c r="B6" s="180"/>
      <c r="C6" s="184"/>
      <c r="D6" s="185"/>
      <c r="E6" s="170" t="s">
        <v>638</v>
      </c>
      <c r="F6" s="186">
        <v>99</v>
      </c>
      <c r="G6" s="230" t="s">
        <v>23</v>
      </c>
      <c r="H6" s="187"/>
      <c r="I6" s="188" t="s">
        <v>16</v>
      </c>
      <c r="J6" s="483"/>
      <c r="K6" s="483"/>
      <c r="L6" s="483"/>
      <c r="M6" s="483"/>
      <c r="N6" s="483"/>
      <c r="O6" s="483"/>
      <c r="P6" s="483"/>
      <c r="Q6" s="128" t="s">
        <v>17</v>
      </c>
      <c r="R6" s="129" t="str">
        <f>IF(E6="■","←必須","")</f>
        <v/>
      </c>
      <c r="S6" s="481"/>
      <c r="T6" s="147" t="str">
        <f>IF(E6="■","010199","")</f>
        <v/>
      </c>
      <c r="U6" s="148"/>
      <c r="V6" s="161"/>
    </row>
    <row r="7" spans="1:23">
      <c r="A7" s="179"/>
      <c r="B7" s="189"/>
      <c r="C7" s="190">
        <v>2</v>
      </c>
      <c r="D7" s="191" t="s">
        <v>192</v>
      </c>
      <c r="E7" s="165" t="s">
        <v>638</v>
      </c>
      <c r="F7" s="192">
        <v>1</v>
      </c>
      <c r="G7" s="193" t="s">
        <v>548</v>
      </c>
      <c r="H7" s="194"/>
      <c r="I7" s="171" t="s">
        <v>638</v>
      </c>
      <c r="J7" s="195">
        <v>2</v>
      </c>
      <c r="K7" s="196" t="s">
        <v>193</v>
      </c>
      <c r="L7" s="197"/>
      <c r="M7" s="171" t="s">
        <v>638</v>
      </c>
      <c r="N7" s="195">
        <v>3</v>
      </c>
      <c r="O7" s="196" t="s">
        <v>510</v>
      </c>
      <c r="P7" s="197"/>
      <c r="Q7" s="130"/>
      <c r="R7" s="482"/>
      <c r="S7" s="481"/>
      <c r="T7" s="144" t="str">
        <f>IF(E7="■","010201","")</f>
        <v/>
      </c>
      <c r="U7" s="145" t="str">
        <f>IF(I7="■","010202","")</f>
        <v/>
      </c>
      <c r="V7" s="159" t="str">
        <f>IF(M7="■","010203","")</f>
        <v/>
      </c>
      <c r="W7" s="109"/>
    </row>
    <row r="8" spans="1:23">
      <c r="A8" s="179"/>
      <c r="B8" s="189"/>
      <c r="C8" s="178"/>
      <c r="D8" s="175"/>
      <c r="E8" s="165" t="s">
        <v>638</v>
      </c>
      <c r="F8" s="125">
        <v>4</v>
      </c>
      <c r="G8" s="122" t="s">
        <v>511</v>
      </c>
      <c r="I8" s="166" t="s">
        <v>638</v>
      </c>
      <c r="J8" s="127">
        <v>5</v>
      </c>
      <c r="K8" s="133" t="s">
        <v>194</v>
      </c>
      <c r="M8" s="166" t="s">
        <v>638</v>
      </c>
      <c r="N8" s="127">
        <v>6</v>
      </c>
      <c r="O8" s="133" t="s">
        <v>512</v>
      </c>
      <c r="Q8" s="123"/>
      <c r="R8" s="482"/>
      <c r="T8" s="146" t="str">
        <f>IF(E8="■","010204","")</f>
        <v/>
      </c>
      <c r="U8" s="143" t="str">
        <f>IF(I8="■","010205","")</f>
        <v/>
      </c>
      <c r="V8" s="160" t="str">
        <f>IF(M8="■","010206","")</f>
        <v/>
      </c>
    </row>
    <row r="9" spans="1:23">
      <c r="A9" s="179"/>
      <c r="B9" s="180"/>
      <c r="C9" s="178"/>
      <c r="D9" s="181"/>
      <c r="E9" s="165" t="s">
        <v>638</v>
      </c>
      <c r="F9" s="125">
        <v>7</v>
      </c>
      <c r="G9" s="122" t="s">
        <v>471</v>
      </c>
      <c r="I9" s="166" t="s">
        <v>638</v>
      </c>
      <c r="J9" s="127">
        <v>8</v>
      </c>
      <c r="K9" s="133" t="s">
        <v>195</v>
      </c>
      <c r="M9" s="166" t="s">
        <v>638</v>
      </c>
      <c r="N9" s="127">
        <v>9</v>
      </c>
      <c r="O9" s="133" t="s">
        <v>196</v>
      </c>
      <c r="Q9" s="123"/>
      <c r="R9" s="482"/>
      <c r="T9" s="146" t="str">
        <f>IF(E9="■","010207","")</f>
        <v/>
      </c>
      <c r="U9" s="143" t="str">
        <f>IF(I9="■","010208","")</f>
        <v/>
      </c>
      <c r="V9" s="160" t="str">
        <f>IF(M9="■","010209","")</f>
        <v/>
      </c>
    </row>
    <row r="10" spans="1:23">
      <c r="A10" s="179"/>
      <c r="B10" s="180"/>
      <c r="C10" s="178"/>
      <c r="D10" s="181"/>
      <c r="E10" s="165" t="s">
        <v>638</v>
      </c>
      <c r="F10" s="125">
        <v>10</v>
      </c>
      <c r="G10" s="198" t="s">
        <v>549</v>
      </c>
      <c r="I10" s="199"/>
      <c r="M10" s="183"/>
      <c r="Q10" s="123"/>
      <c r="R10" s="482"/>
      <c r="T10" s="146" t="str">
        <f>IF(E10="■","010210","")</f>
        <v/>
      </c>
      <c r="V10" s="160"/>
    </row>
    <row r="11" spans="1:23">
      <c r="A11" s="231"/>
      <c r="B11" s="232"/>
      <c r="C11" s="184"/>
      <c r="D11" s="185"/>
      <c r="E11" s="170" t="s">
        <v>638</v>
      </c>
      <c r="F11" s="186">
        <v>99</v>
      </c>
      <c r="G11" s="230" t="s">
        <v>197</v>
      </c>
      <c r="H11" s="187"/>
      <c r="I11" s="188" t="s">
        <v>16</v>
      </c>
      <c r="J11" s="483"/>
      <c r="K11" s="483"/>
      <c r="L11" s="483"/>
      <c r="M11" s="483"/>
      <c r="N11" s="483"/>
      <c r="O11" s="483"/>
      <c r="P11" s="483"/>
      <c r="Q11" s="128" t="s">
        <v>17</v>
      </c>
      <c r="R11" s="129" t="str">
        <f>IF(E11="■","←必須","")</f>
        <v/>
      </c>
      <c r="S11" s="131"/>
      <c r="T11" s="147" t="str">
        <f>IF(E11="■","010299","")</f>
        <v/>
      </c>
      <c r="U11" s="148"/>
      <c r="V11" s="161"/>
    </row>
    <row r="12" spans="1:23">
      <c r="A12" s="233">
        <v>2</v>
      </c>
      <c r="B12" s="234" t="s">
        <v>198</v>
      </c>
      <c r="C12" s="190">
        <v>1</v>
      </c>
      <c r="D12" s="191" t="s">
        <v>199</v>
      </c>
      <c r="E12" s="165" t="s">
        <v>638</v>
      </c>
      <c r="F12" s="192">
        <v>1</v>
      </c>
      <c r="G12" s="235" t="s">
        <v>200</v>
      </c>
      <c r="H12" s="194"/>
      <c r="I12" s="171" t="s">
        <v>638</v>
      </c>
      <c r="J12" s="195">
        <v>2</v>
      </c>
      <c r="K12" s="196" t="s">
        <v>201</v>
      </c>
      <c r="L12" s="197"/>
      <c r="M12" s="171" t="s">
        <v>638</v>
      </c>
      <c r="N12" s="195">
        <v>3</v>
      </c>
      <c r="O12" s="196" t="s">
        <v>202</v>
      </c>
      <c r="P12" s="197"/>
      <c r="Q12" s="130"/>
      <c r="R12" s="479"/>
      <c r="S12" s="131"/>
      <c r="T12" s="146" t="str">
        <f>IF(E12="■","020101","")</f>
        <v/>
      </c>
      <c r="U12" s="143" t="str">
        <f>IF(I12="■","020102","")</f>
        <v/>
      </c>
      <c r="V12" s="160" t="str">
        <f>IF(M12="■","020103","")</f>
        <v/>
      </c>
    </row>
    <row r="13" spans="1:23">
      <c r="A13" s="179"/>
      <c r="B13" s="189"/>
      <c r="C13" s="178"/>
      <c r="D13" s="175"/>
      <c r="E13" s="165" t="s">
        <v>638</v>
      </c>
      <c r="F13" s="125">
        <v>4</v>
      </c>
      <c r="G13" s="122" t="s">
        <v>203</v>
      </c>
      <c r="I13" s="166" t="s">
        <v>638</v>
      </c>
      <c r="J13" s="127">
        <v>5</v>
      </c>
      <c r="K13" s="133" t="s">
        <v>204</v>
      </c>
      <c r="M13" s="166" t="s">
        <v>638</v>
      </c>
      <c r="N13" s="127">
        <v>6</v>
      </c>
      <c r="O13" s="133" t="s">
        <v>205</v>
      </c>
      <c r="Q13" s="123"/>
      <c r="R13" s="479"/>
      <c r="T13" s="146" t="str">
        <f>IF(E13="■","020104","")</f>
        <v/>
      </c>
      <c r="U13" s="143" t="str">
        <f>IF(I13="■","020105","")</f>
        <v/>
      </c>
      <c r="V13" s="160" t="str">
        <f>IF(M13="■","020106","")</f>
        <v/>
      </c>
    </row>
    <row r="14" spans="1:23">
      <c r="A14" s="179"/>
      <c r="B14" s="180"/>
      <c r="C14" s="178"/>
      <c r="D14" s="181"/>
      <c r="E14" s="165" t="s">
        <v>638</v>
      </c>
      <c r="F14" s="125">
        <v>7</v>
      </c>
      <c r="G14" s="122" t="s">
        <v>513</v>
      </c>
      <c r="I14" s="166" t="s">
        <v>638</v>
      </c>
      <c r="J14" s="127">
        <v>8</v>
      </c>
      <c r="K14" s="133" t="s">
        <v>206</v>
      </c>
      <c r="M14" s="166" t="s">
        <v>638</v>
      </c>
      <c r="N14" s="127">
        <v>9</v>
      </c>
      <c r="O14" s="200" t="s">
        <v>547</v>
      </c>
      <c r="Q14" s="123"/>
      <c r="R14" s="479"/>
      <c r="T14" s="146" t="str">
        <f>IF(E14="■","020107","")</f>
        <v/>
      </c>
      <c r="U14" s="143" t="str">
        <f>IF(I14="■","020108","")</f>
        <v/>
      </c>
      <c r="V14" s="160" t="str">
        <f>IF(M14="■","020109","")</f>
        <v/>
      </c>
    </row>
    <row r="15" spans="1:23" ht="14.25" customHeight="1">
      <c r="A15" s="231"/>
      <c r="B15" s="232"/>
      <c r="C15" s="184"/>
      <c r="D15" s="185"/>
      <c r="E15" s="170" t="s">
        <v>638</v>
      </c>
      <c r="F15" s="186">
        <v>99</v>
      </c>
      <c r="G15" s="230" t="s">
        <v>207</v>
      </c>
      <c r="H15" s="187"/>
      <c r="I15" s="188" t="s">
        <v>16</v>
      </c>
      <c r="J15" s="484"/>
      <c r="K15" s="484"/>
      <c r="L15" s="484"/>
      <c r="M15" s="484"/>
      <c r="N15" s="484"/>
      <c r="O15" s="484"/>
      <c r="P15" s="484"/>
      <c r="Q15" s="128" t="s">
        <v>17</v>
      </c>
      <c r="R15" s="129" t="str">
        <f>IF(E15="■","←必須","")</f>
        <v/>
      </c>
      <c r="S15" s="131"/>
      <c r="T15" s="147" t="str">
        <f>IF(E15="■","020199","")</f>
        <v/>
      </c>
      <c r="U15" s="148"/>
      <c r="V15" s="161"/>
    </row>
    <row r="16" spans="1:23">
      <c r="A16" s="233">
        <v>3</v>
      </c>
      <c r="B16" s="485" t="s">
        <v>181</v>
      </c>
      <c r="C16" s="190">
        <v>1</v>
      </c>
      <c r="D16" s="191" t="s">
        <v>208</v>
      </c>
      <c r="E16" s="165" t="s">
        <v>638</v>
      </c>
      <c r="F16" s="192">
        <v>1</v>
      </c>
      <c r="G16" s="235" t="s">
        <v>209</v>
      </c>
      <c r="H16" s="194"/>
      <c r="I16" s="171" t="s">
        <v>638</v>
      </c>
      <c r="J16" s="195">
        <v>2</v>
      </c>
      <c r="K16" s="196" t="s">
        <v>210</v>
      </c>
      <c r="L16" s="197"/>
      <c r="M16" s="171" t="s">
        <v>638</v>
      </c>
      <c r="N16" s="195">
        <v>3</v>
      </c>
      <c r="O16" s="196" t="s">
        <v>211</v>
      </c>
      <c r="P16" s="197"/>
      <c r="Q16" s="130"/>
      <c r="R16" s="479"/>
      <c r="S16" s="131"/>
      <c r="T16" s="144" t="str">
        <f>IF(E16="■","030101","")</f>
        <v/>
      </c>
      <c r="U16" s="145" t="str">
        <f>IF(I16="■","030102","")</f>
        <v/>
      </c>
      <c r="V16" s="159" t="str">
        <f>IF(M16="■","030103","")</f>
        <v/>
      </c>
    </row>
    <row r="17" spans="1:22">
      <c r="A17" s="179"/>
      <c r="B17" s="480"/>
      <c r="C17" s="178"/>
      <c r="D17" s="175"/>
      <c r="E17" s="165" t="s">
        <v>638</v>
      </c>
      <c r="F17" s="125">
        <v>4</v>
      </c>
      <c r="G17" s="122" t="s">
        <v>29</v>
      </c>
      <c r="I17" s="166" t="s">
        <v>638</v>
      </c>
      <c r="J17" s="127">
        <v>5</v>
      </c>
      <c r="K17" s="133" t="s">
        <v>30</v>
      </c>
      <c r="M17" s="183" t="b">
        <v>0</v>
      </c>
      <c r="Q17" s="123"/>
      <c r="R17" s="479"/>
      <c r="T17" s="146" t="str">
        <f>IF(E17="■","030104","")</f>
        <v/>
      </c>
      <c r="U17" s="143" t="str">
        <f>IF(I17="■","030105","")</f>
        <v/>
      </c>
      <c r="V17" s="160"/>
    </row>
    <row r="18" spans="1:22">
      <c r="A18" s="179"/>
      <c r="B18" s="180"/>
      <c r="C18" s="178"/>
      <c r="D18" s="181"/>
      <c r="E18" s="236"/>
      <c r="I18" s="199" t="b">
        <v>0</v>
      </c>
      <c r="M18" s="183" t="b">
        <v>0</v>
      </c>
      <c r="Q18" s="123"/>
      <c r="R18" s="479"/>
      <c r="S18" s="108"/>
      <c r="T18" s="146"/>
      <c r="U18" s="143" t="str">
        <f>IF(I18="■","030105","")</f>
        <v/>
      </c>
      <c r="V18" s="160"/>
    </row>
    <row r="19" spans="1:22" ht="15.75" customHeight="1">
      <c r="A19" s="179"/>
      <c r="B19" s="180"/>
      <c r="C19" s="184"/>
      <c r="D19" s="185"/>
      <c r="E19" s="170" t="s">
        <v>638</v>
      </c>
      <c r="F19" s="186">
        <v>99</v>
      </c>
      <c r="G19" s="230" t="s">
        <v>212</v>
      </c>
      <c r="H19" s="187"/>
      <c r="I19" s="188" t="s">
        <v>16</v>
      </c>
      <c r="J19" s="483"/>
      <c r="K19" s="483"/>
      <c r="L19" s="483"/>
      <c r="M19" s="483"/>
      <c r="N19" s="483"/>
      <c r="O19" s="483"/>
      <c r="P19" s="483"/>
      <c r="Q19" s="128" t="s">
        <v>17</v>
      </c>
      <c r="R19" s="129" t="str">
        <f>IF(E19="■","←必須","")</f>
        <v/>
      </c>
      <c r="S19" s="131"/>
      <c r="T19" s="147" t="str">
        <f>IF(E19="■","030199","")</f>
        <v/>
      </c>
      <c r="U19" s="148"/>
      <c r="V19" s="161"/>
    </row>
    <row r="20" spans="1:22" ht="14.25" customHeight="1">
      <c r="A20" s="179"/>
      <c r="B20" s="189"/>
      <c r="C20" s="190">
        <v>2</v>
      </c>
      <c r="D20" s="191" t="s">
        <v>487</v>
      </c>
      <c r="E20" s="165" t="s">
        <v>638</v>
      </c>
      <c r="F20" s="192">
        <v>1</v>
      </c>
      <c r="G20" s="235" t="s">
        <v>209</v>
      </c>
      <c r="H20" s="194"/>
      <c r="I20" s="171" t="s">
        <v>638</v>
      </c>
      <c r="J20" s="195">
        <v>2</v>
      </c>
      <c r="K20" s="196" t="s">
        <v>210</v>
      </c>
      <c r="L20" s="197"/>
      <c r="M20" s="171" t="s">
        <v>638</v>
      </c>
      <c r="N20" s="195">
        <v>3</v>
      </c>
      <c r="O20" s="196" t="s">
        <v>211</v>
      </c>
      <c r="P20" s="197"/>
      <c r="Q20" s="130"/>
      <c r="R20" s="479"/>
      <c r="S20" s="131"/>
      <c r="T20" s="144" t="str">
        <f>IF(E20="■","030201","")</f>
        <v/>
      </c>
      <c r="U20" s="145" t="str">
        <f>IF(I20="■","030202","")</f>
        <v/>
      </c>
      <c r="V20" s="159" t="str">
        <f>IF(M20="■","030203","")</f>
        <v/>
      </c>
    </row>
    <row r="21" spans="1:22">
      <c r="A21" s="179"/>
      <c r="B21" s="189"/>
      <c r="C21" s="178"/>
      <c r="D21" s="175"/>
      <c r="E21" s="165" t="s">
        <v>638</v>
      </c>
      <c r="F21" s="125">
        <v>4</v>
      </c>
      <c r="G21" s="122" t="s">
        <v>514</v>
      </c>
      <c r="I21" s="166" t="s">
        <v>638</v>
      </c>
      <c r="J21" s="127">
        <v>5</v>
      </c>
      <c r="K21" s="133" t="s">
        <v>213</v>
      </c>
      <c r="M21" s="166" t="s">
        <v>638</v>
      </c>
      <c r="N21" s="127">
        <v>6</v>
      </c>
      <c r="O21" s="133" t="s">
        <v>214</v>
      </c>
      <c r="Q21" s="123"/>
      <c r="R21" s="479"/>
      <c r="S21" s="108"/>
      <c r="T21" s="146" t="str">
        <f>IF(E21="■","030204","")</f>
        <v/>
      </c>
      <c r="U21" s="143" t="str">
        <f>IF(I21="■","030205","")</f>
        <v/>
      </c>
      <c r="V21" s="160" t="str">
        <f>IF(M21="■","030206","")</f>
        <v/>
      </c>
    </row>
    <row r="22" spans="1:22">
      <c r="A22" s="179"/>
      <c r="B22" s="180"/>
      <c r="C22" s="178"/>
      <c r="D22" s="181" t="s">
        <v>215</v>
      </c>
      <c r="E22" s="165" t="s">
        <v>638</v>
      </c>
      <c r="F22" s="125">
        <v>7</v>
      </c>
      <c r="G22" s="122" t="s">
        <v>216</v>
      </c>
      <c r="I22" s="166" t="s">
        <v>638</v>
      </c>
      <c r="J22" s="127">
        <v>8</v>
      </c>
      <c r="K22" s="133" t="s">
        <v>29</v>
      </c>
      <c r="M22" s="166" t="s">
        <v>638</v>
      </c>
      <c r="N22" s="127">
        <v>9</v>
      </c>
      <c r="O22" s="133" t="s">
        <v>30</v>
      </c>
      <c r="Q22" s="123"/>
      <c r="R22" s="479"/>
      <c r="S22" s="108"/>
      <c r="T22" s="146" t="str">
        <f>IF(E22="■","030207","")</f>
        <v/>
      </c>
      <c r="U22" s="143" t="str">
        <f>IF(I22="■","030208","")</f>
        <v/>
      </c>
      <c r="V22" s="160" t="str">
        <f>IF(M22="■","030209","")</f>
        <v/>
      </c>
    </row>
    <row r="23" spans="1:22" ht="17.25" customHeight="1">
      <c r="A23" s="179"/>
      <c r="B23" s="180"/>
      <c r="C23" s="184"/>
      <c r="D23" s="185"/>
      <c r="E23" s="170" t="s">
        <v>638</v>
      </c>
      <c r="F23" s="186">
        <v>99</v>
      </c>
      <c r="G23" s="201" t="s">
        <v>498</v>
      </c>
      <c r="H23" s="187"/>
      <c r="I23" s="187" t="s">
        <v>16</v>
      </c>
      <c r="J23" s="483"/>
      <c r="K23" s="483"/>
      <c r="L23" s="483"/>
      <c r="M23" s="483"/>
      <c r="N23" s="483"/>
      <c r="O23" s="483"/>
      <c r="P23" s="483"/>
      <c r="Q23" s="128" t="s">
        <v>17</v>
      </c>
      <c r="R23" s="129" t="str">
        <f>IF(E23="■","←必須","")</f>
        <v/>
      </c>
      <c r="S23" s="131"/>
      <c r="T23" s="147" t="str">
        <f>IF(E23="■","030299","")</f>
        <v/>
      </c>
      <c r="U23" s="148"/>
      <c r="V23" s="161"/>
    </row>
    <row r="24" spans="1:22" ht="13.5" customHeight="1">
      <c r="A24" s="179"/>
      <c r="B24" s="189"/>
      <c r="C24" s="190">
        <v>3</v>
      </c>
      <c r="D24" s="191" t="s">
        <v>217</v>
      </c>
      <c r="E24" s="165" t="s">
        <v>638</v>
      </c>
      <c r="F24" s="192">
        <v>1</v>
      </c>
      <c r="G24" s="235" t="s">
        <v>218</v>
      </c>
      <c r="H24" s="194"/>
      <c r="I24" s="171" t="s">
        <v>638</v>
      </c>
      <c r="J24" s="195">
        <v>2</v>
      </c>
      <c r="K24" s="196" t="s">
        <v>219</v>
      </c>
      <c r="L24" s="197"/>
      <c r="M24" s="171" t="s">
        <v>638</v>
      </c>
      <c r="N24" s="195">
        <v>3</v>
      </c>
      <c r="O24" s="196" t="s">
        <v>220</v>
      </c>
      <c r="P24" s="197"/>
      <c r="Q24" s="130"/>
      <c r="R24" s="479"/>
      <c r="S24" s="131"/>
      <c r="T24" s="144" t="str">
        <f>IF(E24="■","030301","")</f>
        <v/>
      </c>
      <c r="U24" s="145" t="str">
        <f>IF(I24="■","030302","")</f>
        <v/>
      </c>
      <c r="V24" s="159" t="str">
        <f>IF(M24="■","030303","")</f>
        <v/>
      </c>
    </row>
    <row r="25" spans="1:22">
      <c r="A25" s="179"/>
      <c r="B25" s="189"/>
      <c r="C25" s="178"/>
      <c r="D25" s="175"/>
      <c r="E25" s="165" t="s">
        <v>638</v>
      </c>
      <c r="F25" s="125">
        <v>4</v>
      </c>
      <c r="G25" s="122" t="s">
        <v>213</v>
      </c>
      <c r="I25" s="166" t="s">
        <v>638</v>
      </c>
      <c r="J25" s="127">
        <v>5</v>
      </c>
      <c r="K25" s="133" t="s">
        <v>221</v>
      </c>
      <c r="M25" s="183" t="b">
        <v>0</v>
      </c>
      <c r="Q25" s="123"/>
      <c r="R25" s="479"/>
      <c r="S25" s="108"/>
      <c r="T25" s="146" t="str">
        <f>IF(E25="■","030304","")</f>
        <v/>
      </c>
      <c r="U25" s="143" t="str">
        <f>IF(I25="■","030305","")</f>
        <v/>
      </c>
      <c r="V25" s="160"/>
    </row>
    <row r="26" spans="1:22">
      <c r="A26" s="179"/>
      <c r="B26" s="180"/>
      <c r="C26" s="178"/>
      <c r="D26" s="181"/>
      <c r="E26" s="202" t="b">
        <v>0</v>
      </c>
      <c r="I26" s="199" t="b">
        <v>0</v>
      </c>
      <c r="M26" s="183" t="b">
        <v>0</v>
      </c>
      <c r="Q26" s="123"/>
      <c r="R26" s="479"/>
      <c r="S26" s="108"/>
      <c r="T26" s="146"/>
      <c r="V26" s="160"/>
    </row>
    <row r="27" spans="1:22" ht="15.75" customHeight="1">
      <c r="A27" s="179"/>
      <c r="B27" s="180"/>
      <c r="C27" s="184"/>
      <c r="D27" s="185"/>
      <c r="E27" s="170" t="s">
        <v>638</v>
      </c>
      <c r="F27" s="186">
        <v>99</v>
      </c>
      <c r="G27" s="230" t="s">
        <v>222</v>
      </c>
      <c r="H27" s="187"/>
      <c r="I27" s="188" t="s">
        <v>16</v>
      </c>
      <c r="J27" s="483"/>
      <c r="K27" s="483"/>
      <c r="L27" s="483"/>
      <c r="M27" s="483"/>
      <c r="N27" s="483"/>
      <c r="O27" s="483"/>
      <c r="P27" s="483"/>
      <c r="Q27" s="128" t="s">
        <v>17</v>
      </c>
      <c r="R27" s="129" t="str">
        <f>IF(E27="■","←必須","")</f>
        <v/>
      </c>
      <c r="S27" s="131"/>
      <c r="T27" s="147" t="str">
        <f>IF(E27="■","030399","")</f>
        <v/>
      </c>
      <c r="U27" s="148"/>
      <c r="V27" s="161"/>
    </row>
    <row r="28" spans="1:22">
      <c r="A28" s="179"/>
      <c r="B28" s="189"/>
      <c r="C28" s="190">
        <v>4</v>
      </c>
      <c r="D28" s="191" t="s">
        <v>223</v>
      </c>
      <c r="E28" s="165" t="s">
        <v>638</v>
      </c>
      <c r="F28" s="192">
        <v>1</v>
      </c>
      <c r="G28" s="235" t="s">
        <v>224</v>
      </c>
      <c r="H28" s="194"/>
      <c r="I28" s="171" t="s">
        <v>638</v>
      </c>
      <c r="J28" s="195">
        <v>2</v>
      </c>
      <c r="K28" s="196" t="s">
        <v>515</v>
      </c>
      <c r="L28" s="197"/>
      <c r="M28" s="237" t="b">
        <v>0</v>
      </c>
      <c r="N28" s="195"/>
      <c r="O28" s="196"/>
      <c r="P28" s="197"/>
      <c r="Q28" s="130"/>
      <c r="R28" s="479"/>
      <c r="S28" s="131"/>
      <c r="T28" s="144" t="str">
        <f>IF(E28="■","030401","")</f>
        <v/>
      </c>
      <c r="U28" s="145" t="str">
        <f>IF(I28="■","030402","")</f>
        <v/>
      </c>
      <c r="V28" s="159"/>
    </row>
    <row r="29" spans="1:22" ht="9" customHeight="1">
      <c r="A29" s="179"/>
      <c r="B29" s="189"/>
      <c r="C29" s="178"/>
      <c r="D29" s="175"/>
      <c r="E29" s="202" t="b">
        <v>0</v>
      </c>
      <c r="I29" s="199" t="b">
        <v>0</v>
      </c>
      <c r="M29" s="183" t="b">
        <v>0</v>
      </c>
      <c r="Q29" s="123"/>
      <c r="R29" s="479"/>
      <c r="S29" s="108"/>
      <c r="T29" s="146"/>
      <c r="V29" s="160"/>
    </row>
    <row r="30" spans="1:22" ht="9" customHeight="1">
      <c r="A30" s="179"/>
      <c r="B30" s="180"/>
      <c r="C30" s="178"/>
      <c r="D30" s="181"/>
      <c r="E30" s="202" t="b">
        <v>0</v>
      </c>
      <c r="I30" s="199" t="b">
        <v>0</v>
      </c>
      <c r="M30" s="183" t="b">
        <v>0</v>
      </c>
      <c r="Q30" s="123"/>
      <c r="R30" s="479"/>
      <c r="S30" s="108"/>
      <c r="T30" s="146"/>
      <c r="V30" s="160"/>
    </row>
    <row r="31" spans="1:22" ht="16.5" customHeight="1">
      <c r="A31" s="179"/>
      <c r="B31" s="180"/>
      <c r="C31" s="184"/>
      <c r="D31" s="185"/>
      <c r="E31" s="170" t="s">
        <v>638</v>
      </c>
      <c r="F31" s="186">
        <v>99</v>
      </c>
      <c r="G31" s="230" t="s">
        <v>225</v>
      </c>
      <c r="H31" s="187"/>
      <c r="I31" s="188" t="s">
        <v>16</v>
      </c>
      <c r="J31" s="483"/>
      <c r="K31" s="483"/>
      <c r="L31" s="483"/>
      <c r="M31" s="483"/>
      <c r="N31" s="483"/>
      <c r="O31" s="483"/>
      <c r="P31" s="483"/>
      <c r="Q31" s="128" t="s">
        <v>17</v>
      </c>
      <c r="R31" s="129" t="str">
        <f>IF(E31="■","←必須","")</f>
        <v/>
      </c>
      <c r="S31" s="131"/>
      <c r="T31" s="147" t="str">
        <f>IF(E31="■","030499","")</f>
        <v/>
      </c>
      <c r="U31" s="148"/>
      <c r="V31" s="161"/>
    </row>
    <row r="32" spans="1:22">
      <c r="A32" s="179"/>
      <c r="B32" s="189"/>
      <c r="C32" s="190">
        <v>5</v>
      </c>
      <c r="D32" s="191" t="s">
        <v>226</v>
      </c>
      <c r="E32" s="165" t="s">
        <v>638</v>
      </c>
      <c r="F32" s="192">
        <v>1</v>
      </c>
      <c r="G32" s="235" t="s">
        <v>227</v>
      </c>
      <c r="H32" s="194"/>
      <c r="I32" s="171" t="s">
        <v>638</v>
      </c>
      <c r="J32" s="195">
        <v>2</v>
      </c>
      <c r="K32" s="196" t="s">
        <v>228</v>
      </c>
      <c r="L32" s="197"/>
      <c r="M32" s="237" t="b">
        <v>0</v>
      </c>
      <c r="N32" s="195"/>
      <c r="O32" s="196"/>
      <c r="P32" s="197"/>
      <c r="Q32" s="130"/>
      <c r="R32" s="479"/>
      <c r="S32" s="131"/>
      <c r="T32" s="144" t="str">
        <f>IF(E32="■","030501","")</f>
        <v/>
      </c>
      <c r="U32" s="145" t="str">
        <f>IF(I32="■","030502","")</f>
        <v/>
      </c>
      <c r="V32" s="159"/>
    </row>
    <row r="33" spans="1:22" ht="9" customHeight="1">
      <c r="A33" s="179"/>
      <c r="B33" s="189"/>
      <c r="C33" s="178"/>
      <c r="D33" s="175"/>
      <c r="E33" s="202" t="b">
        <v>0</v>
      </c>
      <c r="I33" s="199" t="b">
        <v>0</v>
      </c>
      <c r="M33" s="183"/>
      <c r="Q33" s="123"/>
      <c r="R33" s="479"/>
      <c r="S33" s="108"/>
      <c r="T33" s="146"/>
      <c r="V33" s="160"/>
    </row>
    <row r="34" spans="1:22" ht="9" customHeight="1">
      <c r="A34" s="179"/>
      <c r="B34" s="180"/>
      <c r="C34" s="178"/>
      <c r="D34" s="181"/>
      <c r="E34" s="202" t="b">
        <v>0</v>
      </c>
      <c r="I34" s="199" t="b">
        <v>0</v>
      </c>
      <c r="M34" s="183"/>
      <c r="Q34" s="123"/>
      <c r="R34" s="479"/>
      <c r="S34" s="108"/>
      <c r="T34" s="146"/>
      <c r="V34" s="160"/>
    </row>
    <row r="35" spans="1:22" ht="16.5" customHeight="1">
      <c r="A35" s="231"/>
      <c r="B35" s="232"/>
      <c r="C35" s="184"/>
      <c r="D35" s="185"/>
      <c r="E35" s="170" t="s">
        <v>638</v>
      </c>
      <c r="F35" s="186">
        <v>99</v>
      </c>
      <c r="G35" s="230" t="s">
        <v>229</v>
      </c>
      <c r="H35" s="187"/>
      <c r="I35" s="188" t="s">
        <v>16</v>
      </c>
      <c r="J35" s="483"/>
      <c r="K35" s="483"/>
      <c r="L35" s="483"/>
      <c r="M35" s="483"/>
      <c r="N35" s="483"/>
      <c r="O35" s="483"/>
      <c r="P35" s="483"/>
      <c r="Q35" s="128" t="s">
        <v>17</v>
      </c>
      <c r="R35" s="129" t="str">
        <f>IF(E35="■","←必須","")</f>
        <v/>
      </c>
      <c r="S35" s="131"/>
      <c r="T35" s="147" t="str">
        <f>IF(E35="■","030599","")</f>
        <v/>
      </c>
      <c r="U35" s="148"/>
      <c r="V35" s="161"/>
    </row>
    <row r="36" spans="1:22">
      <c r="A36" s="233">
        <v>4</v>
      </c>
      <c r="B36" s="234" t="s">
        <v>182</v>
      </c>
      <c r="C36" s="190">
        <v>1</v>
      </c>
      <c r="D36" s="191" t="s">
        <v>230</v>
      </c>
      <c r="E36" s="165" t="s">
        <v>638</v>
      </c>
      <c r="F36" s="192">
        <v>1</v>
      </c>
      <c r="G36" s="235" t="s">
        <v>231</v>
      </c>
      <c r="H36" s="194"/>
      <c r="I36" s="171" t="s">
        <v>638</v>
      </c>
      <c r="J36" s="195">
        <v>2</v>
      </c>
      <c r="K36" s="196" t="s">
        <v>516</v>
      </c>
      <c r="L36" s="197"/>
      <c r="M36" s="171" t="s">
        <v>638</v>
      </c>
      <c r="N36" s="195">
        <v>3</v>
      </c>
      <c r="O36" s="196" t="s">
        <v>232</v>
      </c>
      <c r="P36" s="197"/>
      <c r="Q36" s="130"/>
      <c r="R36" s="479"/>
      <c r="S36" s="131"/>
      <c r="T36" s="144" t="str">
        <f>IF(E36="■","040101","")</f>
        <v/>
      </c>
      <c r="U36" s="145" t="str">
        <f>IF(I36="■","040102","")</f>
        <v/>
      </c>
      <c r="V36" s="159" t="str">
        <f>IF(M36="■","040103","")</f>
        <v/>
      </c>
    </row>
    <row r="37" spans="1:22">
      <c r="A37" s="179"/>
      <c r="B37" s="189"/>
      <c r="C37" s="178"/>
      <c r="D37" s="175"/>
      <c r="E37" s="165" t="s">
        <v>638</v>
      </c>
      <c r="F37" s="125">
        <v>4</v>
      </c>
      <c r="G37" s="122" t="s">
        <v>233</v>
      </c>
      <c r="I37" s="166" t="s">
        <v>638</v>
      </c>
      <c r="J37" s="127">
        <v>5</v>
      </c>
      <c r="K37" s="133" t="s">
        <v>234</v>
      </c>
      <c r="M37" s="166" t="s">
        <v>638</v>
      </c>
      <c r="N37" s="127">
        <v>6</v>
      </c>
      <c r="O37" s="133" t="s">
        <v>235</v>
      </c>
      <c r="Q37" s="123"/>
      <c r="R37" s="479"/>
      <c r="S37" s="108"/>
      <c r="T37" s="146" t="str">
        <f>IF(E37="■","040104","")</f>
        <v/>
      </c>
      <c r="U37" s="143" t="str">
        <f>IF(I37="■","040105","")</f>
        <v/>
      </c>
      <c r="V37" s="160" t="str">
        <f>IF(M37="■","040106","")</f>
        <v/>
      </c>
    </row>
    <row r="38" spans="1:22">
      <c r="A38" s="179"/>
      <c r="B38" s="180"/>
      <c r="C38" s="178"/>
      <c r="D38" s="181"/>
      <c r="E38" s="165" t="s">
        <v>638</v>
      </c>
      <c r="F38" s="125">
        <v>7</v>
      </c>
      <c r="G38" s="122" t="s">
        <v>236</v>
      </c>
      <c r="I38" s="166" t="s">
        <v>638</v>
      </c>
      <c r="J38" s="127">
        <v>8</v>
      </c>
      <c r="K38" s="133" t="s">
        <v>237</v>
      </c>
      <c r="M38" s="166" t="s">
        <v>638</v>
      </c>
      <c r="N38" s="127">
        <v>9</v>
      </c>
      <c r="O38" s="133" t="s">
        <v>238</v>
      </c>
      <c r="Q38" s="123"/>
      <c r="R38" s="479"/>
      <c r="S38" s="108"/>
      <c r="T38" s="146" t="str">
        <f>IF(E38="■","040107","")</f>
        <v/>
      </c>
      <c r="U38" s="143" t="str">
        <f>IF(I38="■","040108","")</f>
        <v/>
      </c>
      <c r="V38" s="160" t="str">
        <f>IF(M38="■","040109","")</f>
        <v/>
      </c>
    </row>
    <row r="39" spans="1:22">
      <c r="A39" s="179"/>
      <c r="B39" s="180"/>
      <c r="C39" s="184"/>
      <c r="D39" s="185"/>
      <c r="E39" s="170" t="s">
        <v>638</v>
      </c>
      <c r="F39" s="186">
        <v>99</v>
      </c>
      <c r="G39" s="230" t="s">
        <v>239</v>
      </c>
      <c r="H39" s="187"/>
      <c r="I39" s="188" t="s">
        <v>16</v>
      </c>
      <c r="J39" s="483"/>
      <c r="K39" s="483"/>
      <c r="L39" s="483"/>
      <c r="M39" s="483"/>
      <c r="N39" s="483"/>
      <c r="O39" s="483"/>
      <c r="P39" s="483"/>
      <c r="Q39" s="128" t="s">
        <v>17</v>
      </c>
      <c r="R39" s="129" t="str">
        <f>IF(E39="■","←必須","")</f>
        <v/>
      </c>
      <c r="S39" s="131"/>
      <c r="T39" s="147" t="str">
        <f>IF(E39="■","040199","")</f>
        <v/>
      </c>
      <c r="U39" s="148"/>
      <c r="V39" s="161"/>
    </row>
    <row r="40" spans="1:22">
      <c r="A40" s="179"/>
      <c r="B40" s="189"/>
      <c r="C40" s="190">
        <v>2</v>
      </c>
      <c r="D40" s="191" t="s">
        <v>240</v>
      </c>
      <c r="E40" s="165" t="s">
        <v>638</v>
      </c>
      <c r="F40" s="192">
        <v>1</v>
      </c>
      <c r="G40" s="235" t="s">
        <v>241</v>
      </c>
      <c r="H40" s="194"/>
      <c r="I40" s="171" t="s">
        <v>638</v>
      </c>
      <c r="J40" s="195">
        <v>2</v>
      </c>
      <c r="K40" s="196" t="s">
        <v>242</v>
      </c>
      <c r="L40" s="197"/>
      <c r="M40" s="171" t="s">
        <v>638</v>
      </c>
      <c r="N40" s="195">
        <v>3</v>
      </c>
      <c r="O40" s="196" t="s">
        <v>243</v>
      </c>
      <c r="P40" s="197"/>
      <c r="Q40" s="130"/>
      <c r="R40" s="479"/>
      <c r="S40" s="131"/>
      <c r="T40" s="144" t="str">
        <f>IF(E40="■","040201","")</f>
        <v/>
      </c>
      <c r="U40" s="145" t="str">
        <f>IF(I40="■","040202","")</f>
        <v/>
      </c>
      <c r="V40" s="159" t="str">
        <f>IF(M40="■","040203","")</f>
        <v/>
      </c>
    </row>
    <row r="41" spans="1:22">
      <c r="A41" s="179"/>
      <c r="B41" s="189"/>
      <c r="C41" s="178"/>
      <c r="D41" s="175"/>
      <c r="E41" s="165" t="s">
        <v>638</v>
      </c>
      <c r="F41" s="125">
        <v>4</v>
      </c>
      <c r="G41" s="122" t="s">
        <v>244</v>
      </c>
      <c r="I41" s="166" t="s">
        <v>638</v>
      </c>
      <c r="J41" s="127">
        <v>5</v>
      </c>
      <c r="K41" s="133" t="s">
        <v>245</v>
      </c>
      <c r="M41" s="166" t="s">
        <v>638</v>
      </c>
      <c r="N41" s="127">
        <v>6</v>
      </c>
      <c r="O41" s="486" t="s">
        <v>500</v>
      </c>
      <c r="P41" s="487"/>
      <c r="Q41" s="123"/>
      <c r="R41" s="479"/>
      <c r="S41" s="108"/>
      <c r="T41" s="146" t="str">
        <f>IF(E41="■","040204","")</f>
        <v/>
      </c>
      <c r="U41" s="143" t="str">
        <f>IF(I41="■","040205","")</f>
        <v/>
      </c>
      <c r="V41" s="160" t="str">
        <f>IF(M41="■","040206","")</f>
        <v/>
      </c>
    </row>
    <row r="42" spans="1:22">
      <c r="A42" s="179"/>
      <c r="B42" s="180"/>
      <c r="C42" s="178"/>
      <c r="D42" s="181"/>
      <c r="E42" s="165" t="s">
        <v>638</v>
      </c>
      <c r="F42" s="125">
        <v>7</v>
      </c>
      <c r="G42" s="122" t="s">
        <v>246</v>
      </c>
      <c r="I42" s="166" t="s">
        <v>638</v>
      </c>
      <c r="J42" s="127">
        <v>8</v>
      </c>
      <c r="K42" s="133" t="s">
        <v>247</v>
      </c>
      <c r="M42" s="126"/>
      <c r="Q42" s="123"/>
      <c r="R42" s="479"/>
      <c r="S42" s="108"/>
      <c r="T42" s="146" t="str">
        <f>IF(E42="■","040207","")</f>
        <v/>
      </c>
      <c r="U42" s="143" t="str">
        <f>IF(I42="■","040208","")</f>
        <v/>
      </c>
      <c r="V42" s="160"/>
    </row>
    <row r="43" spans="1:22">
      <c r="A43" s="179"/>
      <c r="B43" s="180"/>
      <c r="C43" s="184"/>
      <c r="D43" s="185"/>
      <c r="E43" s="170" t="s">
        <v>638</v>
      </c>
      <c r="F43" s="186">
        <v>99</v>
      </c>
      <c r="G43" s="230" t="s">
        <v>248</v>
      </c>
      <c r="H43" s="187"/>
      <c r="I43" s="188" t="s">
        <v>16</v>
      </c>
      <c r="J43" s="483"/>
      <c r="K43" s="483"/>
      <c r="L43" s="483"/>
      <c r="M43" s="483"/>
      <c r="N43" s="483"/>
      <c r="O43" s="483"/>
      <c r="P43" s="483"/>
      <c r="Q43" s="128" t="s">
        <v>17</v>
      </c>
      <c r="R43" s="129" t="str">
        <f>IF(E43="■","←必須","")</f>
        <v/>
      </c>
      <c r="S43" s="131"/>
      <c r="T43" s="147" t="str">
        <f>IF(E43="■","040299","")</f>
        <v/>
      </c>
      <c r="U43" s="148"/>
      <c r="V43" s="161"/>
    </row>
    <row r="44" spans="1:22">
      <c r="A44" s="179"/>
      <c r="B44" s="189"/>
      <c r="C44" s="190">
        <v>3</v>
      </c>
      <c r="D44" s="191" t="s">
        <v>249</v>
      </c>
      <c r="E44" s="165" t="s">
        <v>638</v>
      </c>
      <c r="F44" s="192">
        <v>1</v>
      </c>
      <c r="G44" s="235" t="s">
        <v>517</v>
      </c>
      <c r="H44" s="194"/>
      <c r="I44" s="171" t="s">
        <v>638</v>
      </c>
      <c r="J44" s="195">
        <v>2</v>
      </c>
      <c r="K44" s="196" t="s">
        <v>40</v>
      </c>
      <c r="L44" s="197"/>
      <c r="M44" s="171" t="s">
        <v>638</v>
      </c>
      <c r="N44" s="195">
        <v>3</v>
      </c>
      <c r="O44" s="196" t="s">
        <v>250</v>
      </c>
      <c r="P44" s="197"/>
      <c r="Q44" s="130"/>
      <c r="R44" s="479"/>
      <c r="S44" s="131"/>
      <c r="T44" s="144" t="str">
        <f>IF(E44="■","040301","")</f>
        <v/>
      </c>
      <c r="U44" s="145" t="str">
        <f>IF(I44="■","040302","")</f>
        <v/>
      </c>
      <c r="V44" s="159" t="str">
        <f>IF(M44="■","040303","")</f>
        <v/>
      </c>
    </row>
    <row r="45" spans="1:22">
      <c r="A45" s="179"/>
      <c r="B45" s="189"/>
      <c r="C45" s="178"/>
      <c r="D45" s="175"/>
      <c r="E45" s="165" t="s">
        <v>638</v>
      </c>
      <c r="F45" s="125">
        <v>4</v>
      </c>
      <c r="G45" s="122" t="s">
        <v>251</v>
      </c>
      <c r="I45" s="166" t="s">
        <v>638</v>
      </c>
      <c r="J45" s="127">
        <v>5</v>
      </c>
      <c r="K45" s="133" t="s">
        <v>252</v>
      </c>
      <c r="M45" s="166" t="s">
        <v>638</v>
      </c>
      <c r="N45" s="127">
        <v>6</v>
      </c>
      <c r="O45" s="133" t="s">
        <v>253</v>
      </c>
      <c r="Q45" s="123"/>
      <c r="R45" s="479"/>
      <c r="S45" s="108"/>
      <c r="T45" s="146" t="str">
        <f>IF(E45="■","040304","")</f>
        <v/>
      </c>
      <c r="U45" s="143" t="str">
        <f>IF(I45="■","040305","")</f>
        <v/>
      </c>
      <c r="V45" s="160" t="str">
        <f>IF(M45="■","040306","")</f>
        <v/>
      </c>
    </row>
    <row r="46" spans="1:22">
      <c r="A46" s="179"/>
      <c r="B46" s="180"/>
      <c r="C46" s="178"/>
      <c r="D46" s="181"/>
      <c r="E46" s="165" t="s">
        <v>638</v>
      </c>
      <c r="F46" s="125">
        <v>7</v>
      </c>
      <c r="G46" s="122" t="s">
        <v>254</v>
      </c>
      <c r="I46" s="166" t="s">
        <v>638</v>
      </c>
      <c r="J46" s="127">
        <v>8</v>
      </c>
      <c r="K46" s="133" t="s">
        <v>255</v>
      </c>
      <c r="M46" s="166" t="s">
        <v>638</v>
      </c>
      <c r="N46" s="127">
        <v>9</v>
      </c>
      <c r="O46" s="133" t="s">
        <v>256</v>
      </c>
      <c r="Q46" s="123"/>
      <c r="R46" s="479"/>
      <c r="S46" s="108"/>
      <c r="T46" s="146" t="str">
        <f>IF(E46="■","040307","")</f>
        <v/>
      </c>
      <c r="U46" s="143" t="str">
        <f>IF(I46="■","040308","")</f>
        <v/>
      </c>
      <c r="V46" s="160" t="str">
        <f>IF(M46="■","040309","")</f>
        <v/>
      </c>
    </row>
    <row r="47" spans="1:22" ht="17.25" customHeight="1">
      <c r="A47" s="179"/>
      <c r="B47" s="180"/>
      <c r="C47" s="184"/>
      <c r="D47" s="185"/>
      <c r="E47" s="170" t="s">
        <v>638</v>
      </c>
      <c r="F47" s="186">
        <v>99</v>
      </c>
      <c r="G47" s="230" t="s">
        <v>257</v>
      </c>
      <c r="H47" s="187"/>
      <c r="I47" s="188" t="s">
        <v>16</v>
      </c>
      <c r="J47" s="483"/>
      <c r="K47" s="483"/>
      <c r="L47" s="483"/>
      <c r="M47" s="483"/>
      <c r="N47" s="483"/>
      <c r="O47" s="483"/>
      <c r="P47" s="483"/>
      <c r="Q47" s="128" t="s">
        <v>17</v>
      </c>
      <c r="R47" s="129" t="str">
        <f>IF(E47="■","←必須","")</f>
        <v/>
      </c>
      <c r="S47" s="131"/>
      <c r="T47" s="147" t="str">
        <f>IF(E47="■","040399","")</f>
        <v/>
      </c>
      <c r="U47" s="148"/>
      <c r="V47" s="161"/>
    </row>
    <row r="48" spans="1:22" ht="15" customHeight="1">
      <c r="A48" s="179"/>
      <c r="B48" s="189"/>
      <c r="C48" s="190">
        <v>4</v>
      </c>
      <c r="D48" s="191" t="s">
        <v>258</v>
      </c>
      <c r="E48" s="165" t="s">
        <v>638</v>
      </c>
      <c r="F48" s="192">
        <v>1</v>
      </c>
      <c r="G48" s="235" t="s">
        <v>259</v>
      </c>
      <c r="H48" s="194"/>
      <c r="I48" s="171" t="s">
        <v>638</v>
      </c>
      <c r="J48" s="195">
        <v>2</v>
      </c>
      <c r="K48" s="196" t="s">
        <v>260</v>
      </c>
      <c r="L48" s="197"/>
      <c r="M48" s="171" t="s">
        <v>638</v>
      </c>
      <c r="N48" s="195">
        <v>3</v>
      </c>
      <c r="O48" s="196" t="s">
        <v>261</v>
      </c>
      <c r="P48" s="197"/>
      <c r="Q48" s="130"/>
      <c r="R48" s="479"/>
      <c r="S48" s="131"/>
      <c r="T48" s="144" t="str">
        <f>IF(E48="■","040401","")</f>
        <v/>
      </c>
      <c r="U48" s="145" t="str">
        <f>IF(I48="■","040402","")</f>
        <v/>
      </c>
      <c r="V48" s="159" t="str">
        <f>IF(M48="■","040403","")</f>
        <v/>
      </c>
    </row>
    <row r="49" spans="1:22">
      <c r="A49" s="179"/>
      <c r="B49" s="189"/>
      <c r="C49" s="178"/>
      <c r="D49" s="175"/>
      <c r="E49" s="165" t="s">
        <v>638</v>
      </c>
      <c r="F49" s="125">
        <v>4</v>
      </c>
      <c r="G49" s="122" t="s">
        <v>262</v>
      </c>
      <c r="I49" s="166" t="s">
        <v>638</v>
      </c>
      <c r="J49" s="127">
        <v>5</v>
      </c>
      <c r="K49" s="133" t="s">
        <v>263</v>
      </c>
      <c r="M49" s="166" t="s">
        <v>638</v>
      </c>
      <c r="N49" s="127">
        <v>6</v>
      </c>
      <c r="O49" s="133" t="s">
        <v>264</v>
      </c>
      <c r="Q49" s="123"/>
      <c r="R49" s="479"/>
      <c r="S49" s="108"/>
      <c r="T49" s="146" t="str">
        <f>IF(E49="■","040404","")</f>
        <v/>
      </c>
      <c r="U49" s="143" t="str">
        <f>IF(I49="■","040405","")</f>
        <v/>
      </c>
      <c r="V49" s="160" t="str">
        <f>IF(M49="■","040406","")</f>
        <v/>
      </c>
    </row>
    <row r="50" spans="1:22">
      <c r="A50" s="179"/>
      <c r="B50" s="180"/>
      <c r="C50" s="178"/>
      <c r="D50" s="181"/>
      <c r="E50" s="165" t="s">
        <v>638</v>
      </c>
      <c r="F50" s="125">
        <v>7</v>
      </c>
      <c r="G50" s="122" t="s">
        <v>265</v>
      </c>
      <c r="I50" s="166" t="s">
        <v>638</v>
      </c>
      <c r="J50" s="127">
        <v>8</v>
      </c>
      <c r="K50" s="133" t="s">
        <v>266</v>
      </c>
      <c r="M50" s="166" t="s">
        <v>638</v>
      </c>
      <c r="N50" s="127">
        <v>9</v>
      </c>
      <c r="O50" s="133" t="s">
        <v>267</v>
      </c>
      <c r="Q50" s="123"/>
      <c r="R50" s="479"/>
      <c r="S50" s="108"/>
      <c r="T50" s="146" t="str">
        <f>IF(E50="■","040407","")</f>
        <v/>
      </c>
      <c r="U50" s="143" t="str">
        <f>IF(I50="■","040408","")</f>
        <v/>
      </c>
      <c r="V50" s="160" t="str">
        <f>IF(M50="■","040409","")</f>
        <v/>
      </c>
    </row>
    <row r="51" spans="1:22">
      <c r="A51" s="179"/>
      <c r="B51" s="180"/>
      <c r="C51" s="184"/>
      <c r="D51" s="185"/>
      <c r="E51" s="170" t="s">
        <v>638</v>
      </c>
      <c r="F51" s="186">
        <v>99</v>
      </c>
      <c r="G51" s="230" t="s">
        <v>268</v>
      </c>
      <c r="H51" s="187"/>
      <c r="I51" s="188" t="s">
        <v>16</v>
      </c>
      <c r="J51" s="483"/>
      <c r="K51" s="483"/>
      <c r="L51" s="483"/>
      <c r="M51" s="483"/>
      <c r="N51" s="483"/>
      <c r="O51" s="483"/>
      <c r="P51" s="483"/>
      <c r="Q51" s="128" t="s">
        <v>17</v>
      </c>
      <c r="R51" s="129" t="str">
        <f>IF(E51="■","←必須","")</f>
        <v/>
      </c>
      <c r="S51" s="131"/>
      <c r="T51" s="147" t="str">
        <f>IF(E51="■","040499","")</f>
        <v/>
      </c>
      <c r="U51" s="148"/>
      <c r="V51" s="161"/>
    </row>
    <row r="52" spans="1:22">
      <c r="A52" s="179"/>
      <c r="B52" s="189"/>
      <c r="C52" s="190">
        <v>5</v>
      </c>
      <c r="D52" s="191" t="s">
        <v>168</v>
      </c>
      <c r="E52" s="165" t="s">
        <v>638</v>
      </c>
      <c r="F52" s="192">
        <v>1</v>
      </c>
      <c r="G52" s="235" t="s">
        <v>269</v>
      </c>
      <c r="H52" s="194"/>
      <c r="I52" s="171" t="s">
        <v>638</v>
      </c>
      <c r="J52" s="195">
        <v>2</v>
      </c>
      <c r="K52" s="196" t="s">
        <v>270</v>
      </c>
      <c r="L52" s="197"/>
      <c r="M52" s="171" t="s">
        <v>638</v>
      </c>
      <c r="N52" s="195">
        <v>3</v>
      </c>
      <c r="O52" s="196" t="s">
        <v>271</v>
      </c>
      <c r="P52" s="197"/>
      <c r="Q52" s="130"/>
      <c r="R52" s="479"/>
      <c r="S52" s="131"/>
      <c r="T52" s="144" t="str">
        <f>IF(E52="■","040501","")</f>
        <v/>
      </c>
      <c r="U52" s="145" t="str">
        <f>IF(I52="■","040502","")</f>
        <v/>
      </c>
      <c r="V52" s="159" t="str">
        <f>IF(M52="■","040503","")</f>
        <v/>
      </c>
    </row>
    <row r="53" spans="1:22">
      <c r="A53" s="179"/>
      <c r="B53" s="189"/>
      <c r="C53" s="178"/>
      <c r="D53" s="175" t="s">
        <v>518</v>
      </c>
      <c r="E53" s="165" t="s">
        <v>638</v>
      </c>
      <c r="F53" s="125">
        <v>4</v>
      </c>
      <c r="G53" s="122" t="s">
        <v>272</v>
      </c>
      <c r="I53" s="166" t="s">
        <v>638</v>
      </c>
      <c r="J53" s="127">
        <v>5</v>
      </c>
      <c r="K53" s="133" t="s">
        <v>273</v>
      </c>
      <c r="M53" s="183" t="b">
        <v>0</v>
      </c>
      <c r="Q53" s="123"/>
      <c r="R53" s="479"/>
      <c r="S53" s="108"/>
      <c r="T53" s="146" t="str">
        <f>IF(E53="■","040504","")</f>
        <v/>
      </c>
      <c r="U53" s="143" t="str">
        <f>IF(I53="■","040505","")</f>
        <v/>
      </c>
      <c r="V53" s="160"/>
    </row>
    <row r="54" spans="1:22">
      <c r="A54" s="179"/>
      <c r="B54" s="180"/>
      <c r="C54" s="178"/>
      <c r="D54" s="181"/>
      <c r="E54" s="202" t="b">
        <v>0</v>
      </c>
      <c r="I54" s="199"/>
      <c r="M54" s="183"/>
      <c r="Q54" s="123"/>
      <c r="R54" s="479"/>
      <c r="S54" s="108"/>
      <c r="T54" s="146"/>
      <c r="V54" s="160"/>
    </row>
    <row r="55" spans="1:22">
      <c r="A55" s="179"/>
      <c r="B55" s="180"/>
      <c r="C55" s="184"/>
      <c r="D55" s="185"/>
      <c r="E55" s="170" t="s">
        <v>638</v>
      </c>
      <c r="F55" s="186">
        <v>99</v>
      </c>
      <c r="G55" s="230" t="s">
        <v>274</v>
      </c>
      <c r="H55" s="187"/>
      <c r="I55" s="188" t="s">
        <v>16</v>
      </c>
      <c r="J55" s="483"/>
      <c r="K55" s="483"/>
      <c r="L55" s="483"/>
      <c r="M55" s="483"/>
      <c r="N55" s="483"/>
      <c r="O55" s="483"/>
      <c r="P55" s="483"/>
      <c r="Q55" s="128" t="s">
        <v>17</v>
      </c>
      <c r="R55" s="129" t="str">
        <f>IF(E55="■","←必須","")</f>
        <v/>
      </c>
      <c r="S55" s="131"/>
      <c r="T55" s="147" t="str">
        <f>IF(E55="■","040599","")</f>
        <v/>
      </c>
      <c r="U55" s="148"/>
      <c r="V55" s="161"/>
    </row>
    <row r="56" spans="1:22">
      <c r="A56" s="179"/>
      <c r="B56" s="189"/>
      <c r="C56" s="190">
        <v>6</v>
      </c>
      <c r="D56" s="191" t="s">
        <v>275</v>
      </c>
      <c r="E56" s="165" t="s">
        <v>638</v>
      </c>
      <c r="F56" s="192">
        <v>1</v>
      </c>
      <c r="G56" s="235" t="s">
        <v>276</v>
      </c>
      <c r="H56" s="194"/>
      <c r="I56" s="171" t="s">
        <v>638</v>
      </c>
      <c r="J56" s="195">
        <v>2</v>
      </c>
      <c r="K56" s="196" t="s">
        <v>277</v>
      </c>
      <c r="L56" s="197"/>
      <c r="M56" s="171" t="s">
        <v>638</v>
      </c>
      <c r="N56" s="195">
        <v>3</v>
      </c>
      <c r="O56" s="196" t="s">
        <v>278</v>
      </c>
      <c r="P56" s="197"/>
      <c r="Q56" s="130"/>
      <c r="R56" s="479"/>
      <c r="S56" s="131"/>
      <c r="T56" s="144" t="str">
        <f>IF(E56="■","040601","")</f>
        <v/>
      </c>
      <c r="U56" s="145" t="str">
        <f>IF(I56="■","040602","")</f>
        <v/>
      </c>
      <c r="V56" s="159" t="str">
        <f>IF(M56="■","040603","")</f>
        <v/>
      </c>
    </row>
    <row r="57" spans="1:22">
      <c r="A57" s="179"/>
      <c r="B57" s="189"/>
      <c r="C57" s="178"/>
      <c r="D57" s="175"/>
      <c r="E57" s="165" t="s">
        <v>638</v>
      </c>
      <c r="F57" s="125">
        <v>4</v>
      </c>
      <c r="G57" s="122" t="s">
        <v>279</v>
      </c>
      <c r="I57" s="166" t="s">
        <v>638</v>
      </c>
      <c r="J57" s="127">
        <v>5</v>
      </c>
      <c r="K57" s="133" t="s">
        <v>280</v>
      </c>
      <c r="M57" s="166" t="s">
        <v>638</v>
      </c>
      <c r="N57" s="127">
        <v>6</v>
      </c>
      <c r="O57" s="133" t="s">
        <v>281</v>
      </c>
      <c r="Q57" s="123"/>
      <c r="R57" s="479"/>
      <c r="S57" s="108"/>
      <c r="T57" s="146" t="str">
        <f>IF(E57="■","040604","")</f>
        <v/>
      </c>
      <c r="U57" s="143" t="str">
        <f>IF(I57="■","040605","")</f>
        <v/>
      </c>
      <c r="V57" s="160" t="str">
        <f>IF(M57="■","040606","")</f>
        <v/>
      </c>
    </row>
    <row r="58" spans="1:22">
      <c r="A58" s="179"/>
      <c r="B58" s="180"/>
      <c r="C58" s="178"/>
      <c r="D58" s="181"/>
      <c r="E58" s="202" t="b">
        <v>0</v>
      </c>
      <c r="I58" s="199"/>
      <c r="M58" s="183"/>
      <c r="Q58" s="123"/>
      <c r="R58" s="479"/>
      <c r="S58" s="108"/>
      <c r="T58" s="146"/>
      <c r="V58" s="160"/>
    </row>
    <row r="59" spans="1:22">
      <c r="A59" s="179"/>
      <c r="B59" s="180"/>
      <c r="C59" s="184"/>
      <c r="D59" s="185"/>
      <c r="E59" s="170" t="s">
        <v>638</v>
      </c>
      <c r="F59" s="186">
        <v>99</v>
      </c>
      <c r="G59" s="230" t="s">
        <v>282</v>
      </c>
      <c r="H59" s="187"/>
      <c r="I59" s="188" t="s">
        <v>16</v>
      </c>
      <c r="J59" s="483"/>
      <c r="K59" s="483"/>
      <c r="L59" s="483"/>
      <c r="M59" s="483"/>
      <c r="N59" s="483"/>
      <c r="O59" s="483"/>
      <c r="P59" s="483"/>
      <c r="Q59" s="128" t="s">
        <v>17</v>
      </c>
      <c r="R59" s="129" t="str">
        <f>IF(E59="■","←必須","")</f>
        <v/>
      </c>
      <c r="S59" s="131"/>
      <c r="T59" s="147" t="str">
        <f>IF(E59="■","040699","")</f>
        <v/>
      </c>
      <c r="U59" s="148"/>
      <c r="V59" s="161"/>
    </row>
    <row r="60" spans="1:22" ht="13.5" customHeight="1">
      <c r="A60" s="179"/>
      <c r="B60" s="189"/>
      <c r="C60" s="190">
        <v>7</v>
      </c>
      <c r="D60" s="191" t="s">
        <v>283</v>
      </c>
      <c r="E60" s="165" t="s">
        <v>638</v>
      </c>
      <c r="F60" s="192">
        <v>1</v>
      </c>
      <c r="G60" s="235" t="s">
        <v>42</v>
      </c>
      <c r="H60" s="194"/>
      <c r="I60" s="171" t="s">
        <v>638</v>
      </c>
      <c r="J60" s="195">
        <v>2</v>
      </c>
      <c r="K60" s="196" t="s">
        <v>41</v>
      </c>
      <c r="L60" s="197"/>
      <c r="M60" s="171" t="s">
        <v>638</v>
      </c>
      <c r="N60" s="195">
        <v>3</v>
      </c>
      <c r="O60" s="196" t="s">
        <v>18</v>
      </c>
      <c r="P60" s="197"/>
      <c r="Q60" s="130"/>
      <c r="R60" s="479"/>
      <c r="S60" s="131"/>
      <c r="T60" s="144" t="str">
        <f>IF(E60="■","040701","")</f>
        <v/>
      </c>
      <c r="U60" s="145" t="str">
        <f>IF(I60="■","040702","")</f>
        <v/>
      </c>
      <c r="V60" s="159" t="str">
        <f>IF(M60="■","040703","")</f>
        <v/>
      </c>
    </row>
    <row r="61" spans="1:22">
      <c r="A61" s="179"/>
      <c r="B61" s="189"/>
      <c r="C61" s="178"/>
      <c r="D61" s="175"/>
      <c r="E61" s="165" t="s">
        <v>638</v>
      </c>
      <c r="F61" s="125">
        <v>4</v>
      </c>
      <c r="G61" s="122" t="s">
        <v>519</v>
      </c>
      <c r="I61" s="166" t="s">
        <v>638</v>
      </c>
      <c r="J61" s="127">
        <v>5</v>
      </c>
      <c r="K61" s="133" t="s">
        <v>520</v>
      </c>
      <c r="M61" s="166" t="s">
        <v>638</v>
      </c>
      <c r="N61" s="127">
        <v>6</v>
      </c>
      <c r="O61" s="133" t="s">
        <v>284</v>
      </c>
      <c r="Q61" s="123"/>
      <c r="R61" s="479"/>
      <c r="S61" s="108"/>
      <c r="T61" s="146" t="str">
        <f>IF(E61="■","040704","")</f>
        <v/>
      </c>
      <c r="U61" s="143" t="str">
        <f>IF(I61="■","040705","")</f>
        <v/>
      </c>
      <c r="V61" s="160" t="str">
        <f>IF(M61="■","040706","")</f>
        <v/>
      </c>
    </row>
    <row r="62" spans="1:22">
      <c r="A62" s="179"/>
      <c r="B62" s="180"/>
      <c r="C62" s="178"/>
      <c r="D62" s="181"/>
      <c r="E62" s="165" t="s">
        <v>638</v>
      </c>
      <c r="F62" s="125">
        <v>7</v>
      </c>
      <c r="G62" s="122" t="s">
        <v>285</v>
      </c>
      <c r="I62" s="166" t="s">
        <v>638</v>
      </c>
      <c r="J62" s="127">
        <v>8</v>
      </c>
      <c r="K62" s="133" t="s">
        <v>286</v>
      </c>
      <c r="M62" s="166" t="s">
        <v>638</v>
      </c>
      <c r="N62" s="127">
        <v>9</v>
      </c>
      <c r="O62" s="133" t="s">
        <v>287</v>
      </c>
      <c r="Q62" s="123"/>
      <c r="R62" s="479"/>
      <c r="S62" s="108"/>
      <c r="T62" s="146" t="str">
        <f>IF(E62="■","040707","")</f>
        <v/>
      </c>
      <c r="U62" s="143" t="str">
        <f>IF(I62="■","040708","")</f>
        <v/>
      </c>
      <c r="V62" s="160" t="str">
        <f>IF(M62="■","040709","")</f>
        <v/>
      </c>
    </row>
    <row r="63" spans="1:22">
      <c r="A63" s="179"/>
      <c r="B63" s="180"/>
      <c r="C63" s="184"/>
      <c r="D63" s="185"/>
      <c r="E63" s="170" t="s">
        <v>638</v>
      </c>
      <c r="F63" s="186">
        <v>99</v>
      </c>
      <c r="G63" s="230" t="s">
        <v>288</v>
      </c>
      <c r="H63" s="187"/>
      <c r="I63" s="188" t="s">
        <v>16</v>
      </c>
      <c r="J63" s="483"/>
      <c r="K63" s="483"/>
      <c r="L63" s="483"/>
      <c r="M63" s="483"/>
      <c r="N63" s="483"/>
      <c r="O63" s="483"/>
      <c r="P63" s="483"/>
      <c r="Q63" s="128" t="s">
        <v>17</v>
      </c>
      <c r="R63" s="129" t="str">
        <f>IF(E63="■","←必須","")</f>
        <v/>
      </c>
      <c r="S63" s="131"/>
      <c r="T63" s="147" t="str">
        <f>IF(E63="■","040799","")</f>
        <v/>
      </c>
      <c r="U63" s="148"/>
      <c r="V63" s="161"/>
    </row>
    <row r="64" spans="1:22">
      <c r="A64" s="179"/>
      <c r="B64" s="189"/>
      <c r="C64" s="190">
        <v>8</v>
      </c>
      <c r="D64" s="191" t="s">
        <v>289</v>
      </c>
      <c r="E64" s="165" t="s">
        <v>638</v>
      </c>
      <c r="F64" s="192">
        <v>1</v>
      </c>
      <c r="G64" s="235" t="s">
        <v>521</v>
      </c>
      <c r="H64" s="194"/>
      <c r="I64" s="171" t="s">
        <v>638</v>
      </c>
      <c r="J64" s="195">
        <v>2</v>
      </c>
      <c r="K64" s="196" t="s">
        <v>522</v>
      </c>
      <c r="L64" s="197"/>
      <c r="M64" s="171" t="s">
        <v>638</v>
      </c>
      <c r="N64" s="195">
        <v>3</v>
      </c>
      <c r="O64" s="196" t="s">
        <v>20</v>
      </c>
      <c r="P64" s="197"/>
      <c r="Q64" s="130"/>
      <c r="R64" s="479"/>
      <c r="S64" s="131"/>
      <c r="T64" s="144" t="str">
        <f>IF(E64="■","040801","")</f>
        <v/>
      </c>
      <c r="U64" s="145" t="str">
        <f>IF(I64="■","040802","")</f>
        <v/>
      </c>
      <c r="V64" s="159" t="str">
        <f>IF(M64="■","040803","")</f>
        <v/>
      </c>
    </row>
    <row r="65" spans="1:22">
      <c r="A65" s="179"/>
      <c r="B65" s="189"/>
      <c r="C65" s="178"/>
      <c r="D65" s="175"/>
      <c r="E65" s="165" t="s">
        <v>638</v>
      </c>
      <c r="F65" s="125">
        <v>4</v>
      </c>
      <c r="G65" s="122" t="s">
        <v>290</v>
      </c>
      <c r="I65" s="166" t="s">
        <v>638</v>
      </c>
      <c r="J65" s="127">
        <v>5</v>
      </c>
      <c r="K65" s="133" t="s">
        <v>21</v>
      </c>
      <c r="M65" s="166" t="s">
        <v>638</v>
      </c>
      <c r="N65" s="127">
        <v>6</v>
      </c>
      <c r="O65" s="133" t="s">
        <v>24</v>
      </c>
      <c r="Q65" s="123"/>
      <c r="R65" s="479"/>
      <c r="S65" s="108"/>
      <c r="T65" s="146" t="str">
        <f>IF(E65="■","040804","")</f>
        <v/>
      </c>
      <c r="U65" s="143" t="str">
        <f>IF(I65="■","040805","")</f>
        <v/>
      </c>
      <c r="V65" s="160" t="str">
        <f>IF(M65="■","040806","")</f>
        <v/>
      </c>
    </row>
    <row r="66" spans="1:22">
      <c r="A66" s="179"/>
      <c r="B66" s="180"/>
      <c r="C66" s="178"/>
      <c r="D66" s="181"/>
      <c r="E66" s="165" t="s">
        <v>638</v>
      </c>
      <c r="F66" s="125">
        <v>7</v>
      </c>
      <c r="G66" s="122" t="s">
        <v>291</v>
      </c>
      <c r="I66" s="166" t="s">
        <v>638</v>
      </c>
      <c r="J66" s="127">
        <v>8</v>
      </c>
      <c r="K66" s="200" t="s">
        <v>488</v>
      </c>
      <c r="M66" s="183" t="b">
        <v>0</v>
      </c>
      <c r="Q66" s="123"/>
      <c r="R66" s="479"/>
      <c r="T66" s="146" t="str">
        <f>IF(E66="■","040807","")</f>
        <v/>
      </c>
      <c r="U66" s="143" t="str">
        <f>IF(I66="■","040808","")</f>
        <v/>
      </c>
      <c r="V66" s="160"/>
    </row>
    <row r="67" spans="1:22" ht="14.25" thickBot="1">
      <c r="A67" s="203"/>
      <c r="B67" s="204"/>
      <c r="C67" s="205"/>
      <c r="D67" s="206"/>
      <c r="E67" s="172" t="s">
        <v>638</v>
      </c>
      <c r="F67" s="207">
        <v>99</v>
      </c>
      <c r="G67" s="211" t="s">
        <v>292</v>
      </c>
      <c r="H67" s="208"/>
      <c r="I67" s="209" t="s">
        <v>16</v>
      </c>
      <c r="J67" s="488"/>
      <c r="K67" s="488"/>
      <c r="L67" s="488"/>
      <c r="M67" s="488"/>
      <c r="N67" s="488"/>
      <c r="O67" s="488"/>
      <c r="P67" s="488"/>
      <c r="Q67" s="132" t="s">
        <v>17</v>
      </c>
      <c r="R67" s="129" t="str">
        <f>IF(E67="■","←必須","")</f>
        <v/>
      </c>
      <c r="S67" s="131"/>
      <c r="T67" s="146" t="str">
        <f>IF(E67="■","040899","")</f>
        <v/>
      </c>
      <c r="V67" s="160"/>
    </row>
    <row r="68" spans="1:22" ht="18.95" customHeight="1">
      <c r="A68" s="179">
        <v>4</v>
      </c>
      <c r="B68" s="189" t="s">
        <v>472</v>
      </c>
      <c r="C68" s="178">
        <v>9</v>
      </c>
      <c r="D68" s="175" t="s">
        <v>293</v>
      </c>
      <c r="E68" s="165" t="s">
        <v>638</v>
      </c>
      <c r="F68" s="125">
        <v>1</v>
      </c>
      <c r="G68" s="122" t="s">
        <v>294</v>
      </c>
      <c r="I68" s="169" t="s">
        <v>638</v>
      </c>
      <c r="J68" s="127">
        <v>2</v>
      </c>
      <c r="K68" s="133" t="s">
        <v>295</v>
      </c>
      <c r="M68" s="169" t="s">
        <v>638</v>
      </c>
      <c r="N68" s="127">
        <v>3</v>
      </c>
      <c r="O68" s="133" t="s">
        <v>296</v>
      </c>
      <c r="Q68" s="123"/>
      <c r="R68" s="479"/>
      <c r="S68" s="131"/>
      <c r="T68" s="144" t="str">
        <f>IF(E68="■","040901","")</f>
        <v/>
      </c>
      <c r="U68" s="145" t="str">
        <f>IF(I68="■","040902","")</f>
        <v/>
      </c>
      <c r="V68" s="159" t="str">
        <f>IF(M68="■","040903","")</f>
        <v/>
      </c>
    </row>
    <row r="69" spans="1:22">
      <c r="A69" s="179"/>
      <c r="B69" s="189"/>
      <c r="C69" s="178"/>
      <c r="D69" s="175"/>
      <c r="E69" s="165" t="s">
        <v>638</v>
      </c>
      <c r="F69" s="125">
        <v>4</v>
      </c>
      <c r="G69" s="122" t="s">
        <v>478</v>
      </c>
      <c r="I69" s="166" t="s">
        <v>638</v>
      </c>
      <c r="J69" s="127">
        <v>5</v>
      </c>
      <c r="K69" s="133" t="s">
        <v>297</v>
      </c>
      <c r="M69" s="166" t="s">
        <v>638</v>
      </c>
      <c r="N69" s="127">
        <v>6</v>
      </c>
      <c r="O69" s="133" t="s">
        <v>298</v>
      </c>
      <c r="Q69" s="123"/>
      <c r="R69" s="479"/>
      <c r="T69" s="146" t="str">
        <f>IF(E69="■","040904","")</f>
        <v/>
      </c>
      <c r="U69" s="143" t="str">
        <f>IF(I69="■","040905","")</f>
        <v/>
      </c>
      <c r="V69" s="160" t="str">
        <f>IF(M69="■","040906","")</f>
        <v/>
      </c>
    </row>
    <row r="70" spans="1:22">
      <c r="A70" s="179"/>
      <c r="B70" s="180"/>
      <c r="C70" s="178"/>
      <c r="D70" s="181"/>
      <c r="E70" s="165" t="s">
        <v>638</v>
      </c>
      <c r="F70" s="125">
        <v>7</v>
      </c>
      <c r="G70" s="122" t="s">
        <v>299</v>
      </c>
      <c r="I70" s="166" t="s">
        <v>638</v>
      </c>
      <c r="J70" s="127">
        <v>8</v>
      </c>
      <c r="K70" s="133" t="s">
        <v>300</v>
      </c>
      <c r="M70" s="166" t="s">
        <v>638</v>
      </c>
      <c r="N70" s="127">
        <v>9</v>
      </c>
      <c r="O70" s="133" t="s">
        <v>523</v>
      </c>
      <c r="Q70" s="123"/>
      <c r="R70" s="479"/>
      <c r="T70" s="146" t="str">
        <f>IF(E70="■","040907","")</f>
        <v/>
      </c>
      <c r="U70" s="143" t="str">
        <f>IF(I70="■","040908","")</f>
        <v/>
      </c>
      <c r="V70" s="160" t="str">
        <f>IF(M70="■","040909","")</f>
        <v/>
      </c>
    </row>
    <row r="71" spans="1:22">
      <c r="A71" s="179"/>
      <c r="B71" s="180"/>
      <c r="C71" s="184"/>
      <c r="D71" s="185"/>
      <c r="E71" s="170" t="s">
        <v>638</v>
      </c>
      <c r="F71" s="186">
        <v>99</v>
      </c>
      <c r="G71" s="230" t="s">
        <v>301</v>
      </c>
      <c r="H71" s="187"/>
      <c r="I71" s="188" t="s">
        <v>16</v>
      </c>
      <c r="J71" s="483"/>
      <c r="K71" s="483"/>
      <c r="L71" s="483"/>
      <c r="M71" s="483"/>
      <c r="N71" s="483"/>
      <c r="O71" s="483"/>
      <c r="P71" s="483"/>
      <c r="Q71" s="128" t="s">
        <v>17</v>
      </c>
      <c r="R71" s="129" t="str">
        <f>IF(E71="■","←必須","")</f>
        <v/>
      </c>
      <c r="S71" s="131"/>
      <c r="T71" s="147" t="str">
        <f>IF(E71="■","040999","")</f>
        <v/>
      </c>
      <c r="U71" s="148"/>
      <c r="V71" s="161"/>
    </row>
    <row r="72" spans="1:22">
      <c r="A72" s="179"/>
      <c r="B72" s="189"/>
      <c r="C72" s="190">
        <v>10</v>
      </c>
      <c r="D72" s="191" t="s">
        <v>302</v>
      </c>
      <c r="E72" s="165" t="s">
        <v>638</v>
      </c>
      <c r="F72" s="192">
        <v>1</v>
      </c>
      <c r="G72" s="235" t="s">
        <v>303</v>
      </c>
      <c r="H72" s="194"/>
      <c r="I72" s="171" t="s">
        <v>638</v>
      </c>
      <c r="J72" s="195">
        <v>2</v>
      </c>
      <c r="K72" s="210" t="s">
        <v>491</v>
      </c>
      <c r="L72" s="197"/>
      <c r="M72" s="171" t="s">
        <v>638</v>
      </c>
      <c r="N72" s="195">
        <v>3</v>
      </c>
      <c r="O72" s="210" t="s">
        <v>490</v>
      </c>
      <c r="P72" s="197"/>
      <c r="Q72" s="130"/>
      <c r="R72" s="479"/>
      <c r="S72" s="131"/>
      <c r="T72" s="144" t="str">
        <f>IF(E72="■","041001","")</f>
        <v/>
      </c>
      <c r="U72" s="145" t="str">
        <f>IF(I72="■","041002","")</f>
        <v/>
      </c>
      <c r="V72" s="159" t="str">
        <f>IF(M72="■","041003","")</f>
        <v/>
      </c>
    </row>
    <row r="73" spans="1:22">
      <c r="A73" s="179"/>
      <c r="B73" s="189"/>
      <c r="C73" s="178"/>
      <c r="D73" s="175"/>
      <c r="E73" s="165" t="s">
        <v>638</v>
      </c>
      <c r="F73" s="125">
        <v>4</v>
      </c>
      <c r="G73" s="198" t="s">
        <v>489</v>
      </c>
      <c r="I73" s="166" t="s">
        <v>638</v>
      </c>
      <c r="J73" s="127">
        <v>5</v>
      </c>
      <c r="K73" s="200" t="s">
        <v>524</v>
      </c>
      <c r="M73" s="166" t="s">
        <v>638</v>
      </c>
      <c r="N73" s="127">
        <v>6</v>
      </c>
      <c r="O73" s="200" t="s">
        <v>525</v>
      </c>
      <c r="Q73" s="123"/>
      <c r="R73" s="479"/>
      <c r="T73" s="146" t="str">
        <f>IF(E73="■","041004","")</f>
        <v/>
      </c>
      <c r="U73" s="143" t="str">
        <f>IF(I73="■","041005","")</f>
        <v/>
      </c>
      <c r="V73" s="160" t="str">
        <f>IF(M73="■","041006","")</f>
        <v/>
      </c>
    </row>
    <row r="74" spans="1:22">
      <c r="A74" s="179"/>
      <c r="B74" s="180"/>
      <c r="C74" s="178"/>
      <c r="D74" s="181"/>
      <c r="E74" s="202" t="b">
        <v>0</v>
      </c>
      <c r="I74" s="199" t="b">
        <v>0</v>
      </c>
      <c r="M74" s="183" t="b">
        <v>0</v>
      </c>
      <c r="Q74" s="123"/>
      <c r="R74" s="479"/>
      <c r="T74" s="146"/>
      <c r="V74" s="160"/>
    </row>
    <row r="75" spans="1:22">
      <c r="A75" s="179"/>
      <c r="B75" s="180"/>
      <c r="C75" s="184"/>
      <c r="D75" s="185"/>
      <c r="E75" s="170" t="s">
        <v>638</v>
      </c>
      <c r="F75" s="186">
        <v>99</v>
      </c>
      <c r="G75" s="230" t="s">
        <v>304</v>
      </c>
      <c r="H75" s="187"/>
      <c r="I75" s="188" t="s">
        <v>16</v>
      </c>
      <c r="J75" s="483"/>
      <c r="K75" s="483"/>
      <c r="L75" s="483"/>
      <c r="M75" s="483"/>
      <c r="N75" s="483"/>
      <c r="O75" s="483"/>
      <c r="P75" s="483"/>
      <c r="Q75" s="128" t="s">
        <v>17</v>
      </c>
      <c r="R75" s="129" t="str">
        <f>IF(E75="■","←必須","")</f>
        <v/>
      </c>
      <c r="S75" s="131"/>
      <c r="T75" s="147" t="str">
        <f>IF(E75="■","041099","")</f>
        <v/>
      </c>
      <c r="U75" s="148"/>
      <c r="V75" s="161"/>
    </row>
    <row r="76" spans="1:22">
      <c r="A76" s="179"/>
      <c r="B76" s="189"/>
      <c r="C76" s="190">
        <v>11</v>
      </c>
      <c r="D76" s="191" t="s">
        <v>305</v>
      </c>
      <c r="E76" s="165" t="s">
        <v>638</v>
      </c>
      <c r="F76" s="192">
        <v>1</v>
      </c>
      <c r="G76" s="235" t="s">
        <v>306</v>
      </c>
      <c r="H76" s="194"/>
      <c r="I76" s="171" t="s">
        <v>638</v>
      </c>
      <c r="J76" s="195">
        <v>2</v>
      </c>
      <c r="K76" s="196" t="s">
        <v>307</v>
      </c>
      <c r="L76" s="197"/>
      <c r="M76" s="171" t="s">
        <v>638</v>
      </c>
      <c r="N76" s="195">
        <v>3</v>
      </c>
      <c r="O76" s="196" t="s">
        <v>526</v>
      </c>
      <c r="P76" s="197"/>
      <c r="Q76" s="130"/>
      <c r="R76" s="479"/>
      <c r="S76" s="131"/>
      <c r="T76" s="144" t="str">
        <f>IF(E76="■","041101","")</f>
        <v/>
      </c>
      <c r="U76" s="145" t="str">
        <f>IF(I76="■","041102","")</f>
        <v/>
      </c>
      <c r="V76" s="159" t="str">
        <f>IF(M76="■","041103","")</f>
        <v/>
      </c>
    </row>
    <row r="77" spans="1:22">
      <c r="A77" s="179"/>
      <c r="B77" s="189"/>
      <c r="C77" s="178"/>
      <c r="D77" s="175" t="s">
        <v>308</v>
      </c>
      <c r="E77" s="165" t="s">
        <v>638</v>
      </c>
      <c r="F77" s="125">
        <v>4</v>
      </c>
      <c r="G77" s="122" t="s">
        <v>309</v>
      </c>
      <c r="I77" s="166" t="s">
        <v>638</v>
      </c>
      <c r="J77" s="127">
        <v>5</v>
      </c>
      <c r="K77" s="133" t="s">
        <v>527</v>
      </c>
      <c r="M77" s="166" t="s">
        <v>638</v>
      </c>
      <c r="N77" s="127">
        <v>6</v>
      </c>
      <c r="O77" s="133" t="s">
        <v>310</v>
      </c>
      <c r="Q77" s="123"/>
      <c r="R77" s="479"/>
      <c r="T77" s="146" t="str">
        <f>IF(E77="■","041104","")</f>
        <v/>
      </c>
      <c r="U77" s="143" t="str">
        <f>IF(I77="■","041105","")</f>
        <v/>
      </c>
      <c r="V77" s="160" t="str">
        <f>IF(M77="■","041106","")</f>
        <v/>
      </c>
    </row>
    <row r="78" spans="1:22">
      <c r="A78" s="179"/>
      <c r="B78" s="180"/>
      <c r="C78" s="178"/>
      <c r="D78" s="175"/>
      <c r="E78" s="165" t="s">
        <v>638</v>
      </c>
      <c r="F78" s="125">
        <v>7</v>
      </c>
      <c r="G78" s="122" t="s">
        <v>311</v>
      </c>
      <c r="I78" s="166" t="s">
        <v>638</v>
      </c>
      <c r="J78" s="127">
        <v>8</v>
      </c>
      <c r="K78" s="133" t="s">
        <v>25</v>
      </c>
      <c r="M78" s="166" t="s">
        <v>638</v>
      </c>
      <c r="N78" s="127">
        <v>9</v>
      </c>
      <c r="O78" s="200" t="s">
        <v>492</v>
      </c>
      <c r="Q78" s="123"/>
      <c r="R78" s="479"/>
      <c r="T78" s="146" t="str">
        <f>IF(E78="■","041107","")</f>
        <v/>
      </c>
      <c r="U78" s="143" t="str">
        <f>IF(I78="■","041108","")</f>
        <v/>
      </c>
      <c r="V78" s="160" t="str">
        <f>IF(M78="■","041109","")</f>
        <v/>
      </c>
    </row>
    <row r="79" spans="1:22">
      <c r="A79" s="231"/>
      <c r="B79" s="232"/>
      <c r="C79" s="184"/>
      <c r="D79" s="185"/>
      <c r="E79" s="170" t="s">
        <v>638</v>
      </c>
      <c r="F79" s="186">
        <v>99</v>
      </c>
      <c r="G79" s="230" t="s">
        <v>305</v>
      </c>
      <c r="H79" s="187"/>
      <c r="I79" s="188" t="s">
        <v>16</v>
      </c>
      <c r="J79" s="483"/>
      <c r="K79" s="483"/>
      <c r="L79" s="483"/>
      <c r="M79" s="483"/>
      <c r="N79" s="483"/>
      <c r="O79" s="483"/>
      <c r="P79" s="483"/>
      <c r="Q79" s="128" t="s">
        <v>17</v>
      </c>
      <c r="R79" s="129" t="str">
        <f>IF(E79="■","←必須","")</f>
        <v/>
      </c>
      <c r="S79" s="131"/>
      <c r="T79" s="147" t="str">
        <f>IF(E79="■","041199","")</f>
        <v/>
      </c>
      <c r="U79" s="148"/>
      <c r="V79" s="161"/>
    </row>
    <row r="80" spans="1:22" ht="13.5" customHeight="1">
      <c r="A80" s="233">
        <v>5</v>
      </c>
      <c r="B80" s="489" t="s">
        <v>312</v>
      </c>
      <c r="C80" s="190">
        <v>1</v>
      </c>
      <c r="D80" s="191" t="s">
        <v>313</v>
      </c>
      <c r="E80" s="165" t="s">
        <v>638</v>
      </c>
      <c r="F80" s="192">
        <v>1</v>
      </c>
      <c r="G80" s="235" t="s">
        <v>314</v>
      </c>
      <c r="H80" s="194"/>
      <c r="I80" s="171" t="s">
        <v>638</v>
      </c>
      <c r="J80" s="195">
        <v>2</v>
      </c>
      <c r="K80" s="196" t="s">
        <v>315</v>
      </c>
      <c r="L80" s="197"/>
      <c r="M80" s="171" t="s">
        <v>638</v>
      </c>
      <c r="N80" s="195">
        <v>3</v>
      </c>
      <c r="O80" s="196" t="s">
        <v>316</v>
      </c>
      <c r="P80" s="197"/>
      <c r="Q80" s="130"/>
      <c r="R80" s="479"/>
      <c r="S80" s="131"/>
      <c r="T80" s="144" t="str">
        <f>IF(E80="■","050101","")</f>
        <v/>
      </c>
      <c r="U80" s="145" t="str">
        <f>IF(I80="■","050102","")</f>
        <v/>
      </c>
      <c r="V80" s="159" t="str">
        <f>IF(M80="■","050103","")</f>
        <v/>
      </c>
    </row>
    <row r="81" spans="1:22">
      <c r="A81" s="179"/>
      <c r="B81" s="490"/>
      <c r="C81" s="178"/>
      <c r="D81" s="175"/>
      <c r="E81" s="165" t="s">
        <v>638</v>
      </c>
      <c r="F81" s="125">
        <v>4</v>
      </c>
      <c r="G81" s="122" t="s">
        <v>317</v>
      </c>
      <c r="I81" s="166" t="s">
        <v>638</v>
      </c>
      <c r="J81" s="127">
        <v>5</v>
      </c>
      <c r="K81" s="133" t="s">
        <v>318</v>
      </c>
      <c r="M81" s="166" t="s">
        <v>638</v>
      </c>
      <c r="N81" s="127">
        <v>6</v>
      </c>
      <c r="O81" s="133" t="s">
        <v>319</v>
      </c>
      <c r="Q81" s="123"/>
      <c r="R81" s="479"/>
      <c r="T81" s="146" t="str">
        <f>IF(E81="■","050104","")</f>
        <v/>
      </c>
      <c r="U81" s="143" t="str">
        <f>IF(I81="■","050105","")</f>
        <v/>
      </c>
      <c r="V81" s="160" t="str">
        <f>IF(M81="■","050106","")</f>
        <v/>
      </c>
    </row>
    <row r="82" spans="1:22">
      <c r="A82" s="179"/>
      <c r="B82" s="180"/>
      <c r="C82" s="178"/>
      <c r="D82" s="181"/>
      <c r="E82" s="165" t="s">
        <v>638</v>
      </c>
      <c r="F82" s="125">
        <v>7</v>
      </c>
      <c r="G82" s="122" t="s">
        <v>320</v>
      </c>
      <c r="I82" s="166" t="s">
        <v>638</v>
      </c>
      <c r="J82" s="127">
        <v>8</v>
      </c>
      <c r="K82" s="133" t="s">
        <v>321</v>
      </c>
      <c r="M82" s="166" t="s">
        <v>638</v>
      </c>
      <c r="N82" s="127">
        <v>9</v>
      </c>
      <c r="O82" s="133" t="s">
        <v>322</v>
      </c>
      <c r="Q82" s="123"/>
      <c r="R82" s="479"/>
      <c r="S82" s="108"/>
      <c r="T82" s="146" t="str">
        <f>IF(E82="■","050107","")</f>
        <v/>
      </c>
      <c r="U82" s="143" t="str">
        <f>IF(I82="■","050108","")</f>
        <v/>
      </c>
      <c r="V82" s="160" t="str">
        <f>IF(M82="■","050109","")</f>
        <v/>
      </c>
    </row>
    <row r="83" spans="1:22" ht="12" customHeight="1">
      <c r="A83" s="179"/>
      <c r="B83" s="180"/>
      <c r="C83" s="184"/>
      <c r="D83" s="185"/>
      <c r="E83" s="170" t="s">
        <v>638</v>
      </c>
      <c r="F83" s="186">
        <v>99</v>
      </c>
      <c r="G83" s="230" t="s">
        <v>323</v>
      </c>
      <c r="H83" s="187"/>
      <c r="I83" s="188" t="s">
        <v>16</v>
      </c>
      <c r="J83" s="483"/>
      <c r="K83" s="483"/>
      <c r="L83" s="483"/>
      <c r="M83" s="483"/>
      <c r="N83" s="483"/>
      <c r="O83" s="483"/>
      <c r="P83" s="483"/>
      <c r="Q83" s="128" t="s">
        <v>17</v>
      </c>
      <c r="R83" s="129" t="str">
        <f>IF(E83="■","←必須","")</f>
        <v/>
      </c>
      <c r="S83" s="131"/>
      <c r="T83" s="147" t="str">
        <f>IF(E83="■","050199","")</f>
        <v/>
      </c>
      <c r="U83" s="148"/>
      <c r="V83" s="161"/>
    </row>
    <row r="84" spans="1:22">
      <c r="A84" s="179"/>
      <c r="B84" s="189"/>
      <c r="C84" s="190">
        <v>2</v>
      </c>
      <c r="D84" s="191" t="s">
        <v>26</v>
      </c>
      <c r="E84" s="165" t="s">
        <v>638</v>
      </c>
      <c r="F84" s="192">
        <v>1</v>
      </c>
      <c r="G84" s="235" t="s">
        <v>324</v>
      </c>
      <c r="H84" s="194"/>
      <c r="I84" s="171" t="s">
        <v>638</v>
      </c>
      <c r="J84" s="195">
        <v>2</v>
      </c>
      <c r="K84" s="196" t="s">
        <v>325</v>
      </c>
      <c r="L84" s="197"/>
      <c r="M84" s="171" t="s">
        <v>638</v>
      </c>
      <c r="N84" s="195">
        <v>3</v>
      </c>
      <c r="O84" s="196" t="s">
        <v>326</v>
      </c>
      <c r="P84" s="197"/>
      <c r="Q84" s="130"/>
      <c r="R84" s="479"/>
      <c r="S84" s="131"/>
      <c r="T84" s="144" t="str">
        <f>IF(E84="■","050201","")</f>
        <v/>
      </c>
      <c r="U84" s="145" t="str">
        <f>IF(I84="■","050202","")</f>
        <v/>
      </c>
      <c r="V84" s="159" t="str">
        <f>IF(M84="■","050203","")</f>
        <v/>
      </c>
    </row>
    <row r="85" spans="1:22">
      <c r="A85" s="179"/>
      <c r="B85" s="189"/>
      <c r="C85" s="178"/>
      <c r="D85" s="175"/>
      <c r="E85" s="165" t="s">
        <v>638</v>
      </c>
      <c r="F85" s="125">
        <v>4</v>
      </c>
      <c r="G85" s="122" t="s">
        <v>327</v>
      </c>
      <c r="I85" s="166" t="s">
        <v>638</v>
      </c>
      <c r="J85" s="127">
        <v>5</v>
      </c>
      <c r="K85" s="133" t="s">
        <v>328</v>
      </c>
      <c r="M85" s="166" t="s">
        <v>638</v>
      </c>
      <c r="N85" s="127">
        <v>6</v>
      </c>
      <c r="O85" s="133" t="s">
        <v>329</v>
      </c>
      <c r="Q85" s="123"/>
      <c r="R85" s="479"/>
      <c r="S85" s="108"/>
      <c r="T85" s="146" t="str">
        <f>IF(E85="■","050204","")</f>
        <v/>
      </c>
      <c r="U85" s="143" t="str">
        <f>IF(I85="■","050205","")</f>
        <v/>
      </c>
      <c r="V85" s="160" t="str">
        <f>IF(M85="■","050206","")</f>
        <v/>
      </c>
    </row>
    <row r="86" spans="1:22">
      <c r="A86" s="179"/>
      <c r="B86" s="180"/>
      <c r="C86" s="178"/>
      <c r="D86" s="181"/>
      <c r="E86" s="202" t="b">
        <v>0</v>
      </c>
      <c r="I86" s="199" t="b">
        <v>0</v>
      </c>
      <c r="M86" s="183" t="b">
        <v>0</v>
      </c>
      <c r="Q86" s="123"/>
      <c r="R86" s="479"/>
      <c r="S86" s="108"/>
      <c r="T86" s="146"/>
      <c r="V86" s="160"/>
    </row>
    <row r="87" spans="1:22">
      <c r="A87" s="179"/>
      <c r="B87" s="180"/>
      <c r="C87" s="184"/>
      <c r="D87" s="185"/>
      <c r="E87" s="170" t="s">
        <v>638</v>
      </c>
      <c r="F87" s="186">
        <v>99</v>
      </c>
      <c r="G87" s="230" t="s">
        <v>330</v>
      </c>
      <c r="H87" s="187"/>
      <c r="I87" s="188" t="s">
        <v>16</v>
      </c>
      <c r="J87" s="483"/>
      <c r="K87" s="483"/>
      <c r="L87" s="483"/>
      <c r="M87" s="483"/>
      <c r="N87" s="483"/>
      <c r="O87" s="483"/>
      <c r="P87" s="483"/>
      <c r="Q87" s="128" t="s">
        <v>17</v>
      </c>
      <c r="R87" s="129" t="str">
        <f>IF(E87="■","←必須","")</f>
        <v/>
      </c>
      <c r="S87" s="131"/>
      <c r="T87" s="147" t="str">
        <f>IF(E87="■","050299","")</f>
        <v/>
      </c>
      <c r="U87" s="148"/>
      <c r="V87" s="161"/>
    </row>
    <row r="88" spans="1:22">
      <c r="A88" s="179"/>
      <c r="B88" s="189"/>
      <c r="C88" s="190">
        <v>3</v>
      </c>
      <c r="D88" s="191" t="s">
        <v>165</v>
      </c>
      <c r="E88" s="165" t="s">
        <v>638</v>
      </c>
      <c r="F88" s="192">
        <v>1</v>
      </c>
      <c r="G88" s="235" t="s">
        <v>331</v>
      </c>
      <c r="H88" s="194"/>
      <c r="I88" s="171" t="s">
        <v>638</v>
      </c>
      <c r="J88" s="195">
        <v>2</v>
      </c>
      <c r="K88" s="196" t="s">
        <v>332</v>
      </c>
      <c r="L88" s="197"/>
      <c r="M88" s="171" t="s">
        <v>638</v>
      </c>
      <c r="N88" s="195">
        <v>3</v>
      </c>
      <c r="O88" s="196" t="s">
        <v>28</v>
      </c>
      <c r="P88" s="197"/>
      <c r="Q88" s="130"/>
      <c r="R88" s="479"/>
      <c r="S88" s="131"/>
      <c r="T88" s="144" t="str">
        <f>IF(E88="■","050301","")</f>
        <v/>
      </c>
      <c r="U88" s="145" t="str">
        <f>IF(I88="■","050302","")</f>
        <v/>
      </c>
      <c r="V88" s="159" t="str">
        <f>IF(M88="■","050303","")</f>
        <v/>
      </c>
    </row>
    <row r="89" spans="1:22">
      <c r="A89" s="179"/>
      <c r="B89" s="189"/>
      <c r="C89" s="178"/>
      <c r="D89" s="175" t="s">
        <v>528</v>
      </c>
      <c r="E89" s="165" t="s">
        <v>638</v>
      </c>
      <c r="F89" s="125">
        <v>4</v>
      </c>
      <c r="G89" s="122" t="s">
        <v>27</v>
      </c>
      <c r="I89" s="166" t="s">
        <v>638</v>
      </c>
      <c r="J89" s="127">
        <v>5</v>
      </c>
      <c r="K89" s="133" t="s">
        <v>333</v>
      </c>
      <c r="M89" s="166" t="s">
        <v>638</v>
      </c>
      <c r="N89" s="127">
        <v>6</v>
      </c>
      <c r="O89" s="133" t="s">
        <v>334</v>
      </c>
      <c r="Q89" s="123"/>
      <c r="R89" s="479"/>
      <c r="S89" s="108"/>
      <c r="T89" s="146" t="str">
        <f>IF(E89="■","050304","")</f>
        <v/>
      </c>
      <c r="U89" s="143" t="str">
        <f>IF(I89="■","050305","")</f>
        <v/>
      </c>
      <c r="V89" s="160" t="str">
        <f>IF(M89="■","050306","")</f>
        <v/>
      </c>
    </row>
    <row r="90" spans="1:22">
      <c r="A90" s="179"/>
      <c r="B90" s="180"/>
      <c r="C90" s="178"/>
      <c r="D90" s="181"/>
      <c r="E90" s="202" t="b">
        <v>0</v>
      </c>
      <c r="I90" s="199"/>
      <c r="M90" s="183"/>
      <c r="Q90" s="123"/>
      <c r="R90" s="479"/>
      <c r="S90" s="108"/>
      <c r="T90" s="146"/>
      <c r="V90" s="160"/>
    </row>
    <row r="91" spans="1:22">
      <c r="A91" s="231"/>
      <c r="B91" s="232"/>
      <c r="C91" s="184"/>
      <c r="D91" s="185"/>
      <c r="E91" s="170" t="s">
        <v>638</v>
      </c>
      <c r="F91" s="186">
        <v>99</v>
      </c>
      <c r="G91" s="230" t="s">
        <v>335</v>
      </c>
      <c r="H91" s="187"/>
      <c r="I91" s="188" t="s">
        <v>16</v>
      </c>
      <c r="J91" s="483"/>
      <c r="K91" s="483"/>
      <c r="L91" s="483"/>
      <c r="M91" s="483"/>
      <c r="N91" s="483"/>
      <c r="O91" s="483"/>
      <c r="P91" s="483"/>
      <c r="Q91" s="128" t="s">
        <v>17</v>
      </c>
      <c r="R91" s="129" t="str">
        <f>IF(E91="■","←必須","")</f>
        <v/>
      </c>
      <c r="S91" s="131"/>
      <c r="T91" s="147" t="str">
        <f>IF(E91="■","050399","")</f>
        <v/>
      </c>
      <c r="U91" s="148"/>
      <c r="V91" s="161"/>
    </row>
    <row r="92" spans="1:22">
      <c r="A92" s="233">
        <v>6</v>
      </c>
      <c r="B92" s="234" t="s">
        <v>183</v>
      </c>
      <c r="C92" s="190">
        <v>1</v>
      </c>
      <c r="D92" s="191" t="s">
        <v>336</v>
      </c>
      <c r="E92" s="165" t="s">
        <v>638</v>
      </c>
      <c r="F92" s="192">
        <v>1</v>
      </c>
      <c r="G92" s="235" t="s">
        <v>337</v>
      </c>
      <c r="H92" s="194"/>
      <c r="I92" s="171" t="s">
        <v>638</v>
      </c>
      <c r="J92" s="195">
        <v>2</v>
      </c>
      <c r="K92" s="196" t="s">
        <v>338</v>
      </c>
      <c r="L92" s="197"/>
      <c r="M92" s="171" t="s">
        <v>638</v>
      </c>
      <c r="N92" s="195">
        <v>3</v>
      </c>
      <c r="O92" s="196" t="s">
        <v>529</v>
      </c>
      <c r="P92" s="197"/>
      <c r="Q92" s="130"/>
      <c r="R92" s="479"/>
      <c r="S92" s="131"/>
      <c r="T92" s="144" t="str">
        <f>IF(E92="■","060101","")</f>
        <v/>
      </c>
      <c r="U92" s="145" t="str">
        <f>IF(I92="■","060102","")</f>
        <v/>
      </c>
      <c r="V92" s="159" t="str">
        <f>IF(M92="■","060103","")</f>
        <v/>
      </c>
    </row>
    <row r="93" spans="1:22">
      <c r="A93" s="179"/>
      <c r="B93" s="189"/>
      <c r="C93" s="178"/>
      <c r="D93" s="175"/>
      <c r="E93" s="165" t="s">
        <v>638</v>
      </c>
      <c r="F93" s="125">
        <v>4</v>
      </c>
      <c r="G93" s="122" t="s">
        <v>339</v>
      </c>
      <c r="I93" s="166" t="s">
        <v>638</v>
      </c>
      <c r="J93" s="127">
        <v>5</v>
      </c>
      <c r="K93" s="133" t="s">
        <v>340</v>
      </c>
      <c r="M93" s="166" t="s">
        <v>638</v>
      </c>
      <c r="N93" s="127">
        <v>6</v>
      </c>
      <c r="O93" s="133" t="s">
        <v>341</v>
      </c>
      <c r="Q93" s="123"/>
      <c r="R93" s="479"/>
      <c r="S93" s="108"/>
      <c r="T93" s="146" t="str">
        <f>IF(E93="■","060104","")</f>
        <v/>
      </c>
      <c r="U93" s="143" t="str">
        <f>IF(I93="■","060105","")</f>
        <v/>
      </c>
      <c r="V93" s="160" t="str">
        <f>IF(M93="■","060106","")</f>
        <v/>
      </c>
    </row>
    <row r="94" spans="1:22">
      <c r="A94" s="179"/>
      <c r="B94" s="180"/>
      <c r="C94" s="178"/>
      <c r="D94" s="181"/>
      <c r="E94" s="165" t="s">
        <v>638</v>
      </c>
      <c r="F94" s="125">
        <v>7</v>
      </c>
      <c r="G94" s="122" t="s">
        <v>342</v>
      </c>
      <c r="I94" s="166" t="s">
        <v>638</v>
      </c>
      <c r="J94" s="127">
        <v>8</v>
      </c>
      <c r="K94" s="133" t="s">
        <v>343</v>
      </c>
      <c r="M94" s="166" t="s">
        <v>638</v>
      </c>
      <c r="N94" s="127">
        <v>9</v>
      </c>
      <c r="O94" s="133" t="s">
        <v>344</v>
      </c>
      <c r="Q94" s="123"/>
      <c r="R94" s="479"/>
      <c r="S94" s="108"/>
      <c r="T94" s="146" t="str">
        <f>IF(E94="■","060107","")</f>
        <v/>
      </c>
      <c r="U94" s="143" t="str">
        <f>IF(I94="■","060108","")</f>
        <v/>
      </c>
      <c r="V94" s="160" t="str">
        <f>IF(M94="■","060109","")</f>
        <v/>
      </c>
    </row>
    <row r="95" spans="1:22">
      <c r="A95" s="179"/>
      <c r="B95" s="180"/>
      <c r="C95" s="184"/>
      <c r="D95" s="185"/>
      <c r="E95" s="170" t="s">
        <v>638</v>
      </c>
      <c r="F95" s="186">
        <v>99</v>
      </c>
      <c r="G95" s="230" t="s">
        <v>345</v>
      </c>
      <c r="H95" s="187"/>
      <c r="I95" s="188" t="s">
        <v>16</v>
      </c>
      <c r="J95" s="483"/>
      <c r="K95" s="483"/>
      <c r="L95" s="483"/>
      <c r="M95" s="483"/>
      <c r="N95" s="483"/>
      <c r="O95" s="483"/>
      <c r="P95" s="483"/>
      <c r="Q95" s="128" t="s">
        <v>17</v>
      </c>
      <c r="R95" s="129" t="str">
        <f>IF(E95="■","←必須","")</f>
        <v/>
      </c>
      <c r="S95" s="131"/>
      <c r="T95" s="147" t="str">
        <f>IF(E95="■","060199","")</f>
        <v/>
      </c>
      <c r="U95" s="148"/>
      <c r="V95" s="161"/>
    </row>
    <row r="96" spans="1:22">
      <c r="A96" s="179"/>
      <c r="B96" s="189"/>
      <c r="C96" s="190">
        <v>2</v>
      </c>
      <c r="D96" s="191" t="s">
        <v>43</v>
      </c>
      <c r="E96" s="165" t="s">
        <v>638</v>
      </c>
      <c r="F96" s="192">
        <v>1</v>
      </c>
      <c r="G96" s="235" t="s">
        <v>346</v>
      </c>
      <c r="H96" s="194"/>
      <c r="I96" s="171" t="s">
        <v>638</v>
      </c>
      <c r="J96" s="195">
        <v>2</v>
      </c>
      <c r="K96" s="196" t="s">
        <v>347</v>
      </c>
      <c r="L96" s="197"/>
      <c r="M96" s="171" t="s">
        <v>638</v>
      </c>
      <c r="N96" s="195">
        <v>3</v>
      </c>
      <c r="O96" s="196" t="s">
        <v>530</v>
      </c>
      <c r="P96" s="197"/>
      <c r="Q96" s="130"/>
      <c r="R96" s="479"/>
      <c r="S96" s="131"/>
      <c r="T96" s="144" t="str">
        <f>IF(E96="■","060201","")</f>
        <v/>
      </c>
      <c r="U96" s="145" t="str">
        <f>IF(I96="■","060202","")</f>
        <v/>
      </c>
      <c r="V96" s="159" t="str">
        <f>IF(M96="■","060203","")</f>
        <v/>
      </c>
    </row>
    <row r="97" spans="1:22">
      <c r="A97" s="179"/>
      <c r="B97" s="189"/>
      <c r="C97" s="178"/>
      <c r="D97" s="175"/>
      <c r="E97" s="165" t="s">
        <v>638</v>
      </c>
      <c r="F97" s="125">
        <v>4</v>
      </c>
      <c r="G97" s="122" t="s">
        <v>348</v>
      </c>
      <c r="I97" s="166" t="s">
        <v>638</v>
      </c>
      <c r="J97" s="127">
        <v>5</v>
      </c>
      <c r="K97" s="133" t="s">
        <v>349</v>
      </c>
      <c r="M97" s="166" t="s">
        <v>638</v>
      </c>
      <c r="N97" s="127">
        <v>6</v>
      </c>
      <c r="O97" s="133" t="s">
        <v>531</v>
      </c>
      <c r="Q97" s="123"/>
      <c r="R97" s="479"/>
      <c r="S97" s="108"/>
      <c r="T97" s="146" t="str">
        <f>IF(E97="■","060204","")</f>
        <v/>
      </c>
      <c r="U97" s="143" t="str">
        <f>IF(I97="■","060205","")</f>
        <v/>
      </c>
      <c r="V97" s="160" t="str">
        <f>IF(M97="■","060206","")</f>
        <v/>
      </c>
    </row>
    <row r="98" spans="1:22">
      <c r="A98" s="179"/>
      <c r="B98" s="180"/>
      <c r="C98" s="178"/>
      <c r="D98" s="181"/>
      <c r="E98" s="165" t="s">
        <v>638</v>
      </c>
      <c r="F98" s="125">
        <v>7</v>
      </c>
      <c r="G98" s="122" t="s">
        <v>44</v>
      </c>
      <c r="I98" s="199" t="b">
        <v>0</v>
      </c>
      <c r="M98" s="183" t="b">
        <v>0</v>
      </c>
      <c r="Q98" s="123"/>
      <c r="R98" s="479"/>
      <c r="T98" s="146" t="str">
        <f>IF(E98="■","060207","")</f>
        <v/>
      </c>
      <c r="U98" s="143" t="str">
        <f>IF(I98="■","060208","")</f>
        <v/>
      </c>
      <c r="V98" s="160" t="str">
        <f>IF(M98="■","060209","")</f>
        <v/>
      </c>
    </row>
    <row r="99" spans="1:22">
      <c r="A99" s="179"/>
      <c r="B99" s="180"/>
      <c r="C99" s="184"/>
      <c r="D99" s="185"/>
      <c r="E99" s="170" t="s">
        <v>638</v>
      </c>
      <c r="F99" s="186">
        <v>99</v>
      </c>
      <c r="G99" s="230" t="s">
        <v>350</v>
      </c>
      <c r="H99" s="187"/>
      <c r="I99" s="188" t="s">
        <v>16</v>
      </c>
      <c r="J99" s="483"/>
      <c r="K99" s="483"/>
      <c r="L99" s="483"/>
      <c r="M99" s="483"/>
      <c r="N99" s="483"/>
      <c r="O99" s="483"/>
      <c r="P99" s="483"/>
      <c r="Q99" s="128" t="s">
        <v>17</v>
      </c>
      <c r="R99" s="129" t="str">
        <f>IF(E99="■","←必須","")</f>
        <v/>
      </c>
      <c r="S99" s="131"/>
      <c r="T99" s="147" t="str">
        <f>IF(E99="■","060299","")</f>
        <v/>
      </c>
      <c r="U99" s="148"/>
      <c r="V99" s="161"/>
    </row>
    <row r="100" spans="1:22">
      <c r="A100" s="179"/>
      <c r="B100" s="189"/>
      <c r="C100" s="190">
        <v>3</v>
      </c>
      <c r="D100" s="191" t="s">
        <v>166</v>
      </c>
      <c r="E100" s="165" t="s">
        <v>638</v>
      </c>
      <c r="F100" s="192">
        <v>1</v>
      </c>
      <c r="G100" s="235" t="s">
        <v>351</v>
      </c>
      <c r="H100" s="194"/>
      <c r="I100" s="171" t="s">
        <v>638</v>
      </c>
      <c r="J100" s="195">
        <v>2</v>
      </c>
      <c r="K100" s="196" t="s">
        <v>352</v>
      </c>
      <c r="L100" s="197"/>
      <c r="M100" s="171" t="s">
        <v>638</v>
      </c>
      <c r="N100" s="195">
        <v>3</v>
      </c>
      <c r="O100" s="196" t="s">
        <v>353</v>
      </c>
      <c r="P100" s="197"/>
      <c r="Q100" s="130"/>
      <c r="R100" s="479"/>
      <c r="S100" s="131"/>
      <c r="T100" s="144" t="str">
        <f>IF(E100="■","060301","")</f>
        <v/>
      </c>
      <c r="U100" s="145" t="str">
        <f>IF(I100="■","060302","")</f>
        <v/>
      </c>
      <c r="V100" s="159" t="str">
        <f>IF(M100="■","060303","")</f>
        <v/>
      </c>
    </row>
    <row r="101" spans="1:22">
      <c r="A101" s="179"/>
      <c r="B101" s="189"/>
      <c r="C101" s="178"/>
      <c r="D101" s="175" t="s">
        <v>532</v>
      </c>
      <c r="E101" s="165" t="s">
        <v>638</v>
      </c>
      <c r="F101" s="125">
        <v>4</v>
      </c>
      <c r="G101" s="122" t="s">
        <v>354</v>
      </c>
      <c r="I101" s="166" t="s">
        <v>638</v>
      </c>
      <c r="J101" s="127">
        <v>5</v>
      </c>
      <c r="K101" s="133" t="s">
        <v>45</v>
      </c>
      <c r="M101" s="166" t="s">
        <v>638</v>
      </c>
      <c r="N101" s="127">
        <v>6</v>
      </c>
      <c r="O101" s="200" t="s">
        <v>493</v>
      </c>
      <c r="Q101" s="123"/>
      <c r="R101" s="479"/>
      <c r="T101" s="146" t="str">
        <f>IF(E101="■","060304","")</f>
        <v/>
      </c>
      <c r="U101" s="143" t="str">
        <f>IF(I101="■","060305","")</f>
        <v/>
      </c>
      <c r="V101" s="160" t="str">
        <f>IF(M101="■","060306","")</f>
        <v/>
      </c>
    </row>
    <row r="102" spans="1:22">
      <c r="A102" s="179"/>
      <c r="B102" s="180"/>
      <c r="C102" s="178"/>
      <c r="D102" s="181"/>
      <c r="E102" s="165" t="s">
        <v>638</v>
      </c>
      <c r="F102" s="125">
        <v>7</v>
      </c>
      <c r="G102" s="198" t="s">
        <v>494</v>
      </c>
      <c r="I102" s="166" t="s">
        <v>638</v>
      </c>
      <c r="J102" s="127">
        <v>8</v>
      </c>
      <c r="K102" s="200" t="s">
        <v>495</v>
      </c>
      <c r="M102" s="183" t="b">
        <v>0</v>
      </c>
      <c r="Q102" s="123"/>
      <c r="R102" s="479"/>
      <c r="T102" s="146" t="str">
        <f>IF(E102="■","060307","")</f>
        <v/>
      </c>
      <c r="U102" s="143" t="str">
        <f>IF(I102="■","060308","")</f>
        <v/>
      </c>
      <c r="V102" s="160"/>
    </row>
    <row r="103" spans="1:22">
      <c r="A103" s="231"/>
      <c r="B103" s="232"/>
      <c r="C103" s="184"/>
      <c r="D103" s="185"/>
      <c r="E103" s="170" t="s">
        <v>638</v>
      </c>
      <c r="F103" s="186">
        <v>99</v>
      </c>
      <c r="G103" s="230" t="s">
        <v>355</v>
      </c>
      <c r="H103" s="187"/>
      <c r="I103" s="188" t="s">
        <v>16</v>
      </c>
      <c r="J103" s="483"/>
      <c r="K103" s="483"/>
      <c r="L103" s="483"/>
      <c r="M103" s="483"/>
      <c r="N103" s="483"/>
      <c r="O103" s="483"/>
      <c r="P103" s="483"/>
      <c r="Q103" s="128" t="s">
        <v>17</v>
      </c>
      <c r="R103" s="129" t="str">
        <f>IF(E103="■","←必須","")</f>
        <v/>
      </c>
      <c r="S103" s="131"/>
      <c r="T103" s="147" t="str">
        <f>IF(E103="■","060399","")</f>
        <v/>
      </c>
      <c r="U103" s="148"/>
      <c r="V103" s="161"/>
    </row>
    <row r="104" spans="1:22">
      <c r="A104" s="233">
        <v>7</v>
      </c>
      <c r="B104" s="234" t="s">
        <v>184</v>
      </c>
      <c r="C104" s="190">
        <v>1</v>
      </c>
      <c r="D104" s="191" t="s">
        <v>184</v>
      </c>
      <c r="E104" s="165" t="s">
        <v>638</v>
      </c>
      <c r="F104" s="192">
        <v>1</v>
      </c>
      <c r="G104" s="235" t="s">
        <v>533</v>
      </c>
      <c r="H104" s="194"/>
      <c r="I104" s="171" t="s">
        <v>638</v>
      </c>
      <c r="J104" s="195">
        <v>2</v>
      </c>
      <c r="K104" s="196" t="s">
        <v>356</v>
      </c>
      <c r="L104" s="197"/>
      <c r="M104" s="171" t="s">
        <v>638</v>
      </c>
      <c r="N104" s="195">
        <v>3</v>
      </c>
      <c r="O104" s="196" t="s">
        <v>357</v>
      </c>
      <c r="P104" s="197"/>
      <c r="Q104" s="130"/>
      <c r="R104" s="479"/>
      <c r="S104" s="131"/>
      <c r="T104" s="144" t="str">
        <f>IF(E104="■","070101","")</f>
        <v/>
      </c>
      <c r="U104" s="145" t="str">
        <f>IF(I104="■","070102","")</f>
        <v/>
      </c>
      <c r="V104" s="159" t="str">
        <f>IF(M104="■","070103","")</f>
        <v/>
      </c>
    </row>
    <row r="105" spans="1:22">
      <c r="A105" s="179"/>
      <c r="B105" s="189"/>
      <c r="C105" s="178"/>
      <c r="D105" s="175"/>
      <c r="E105" s="165" t="s">
        <v>638</v>
      </c>
      <c r="F105" s="125">
        <v>4</v>
      </c>
      <c r="G105" s="122" t="s">
        <v>358</v>
      </c>
      <c r="I105" s="166" t="s">
        <v>638</v>
      </c>
      <c r="J105" s="127">
        <v>5</v>
      </c>
      <c r="K105" s="133" t="s">
        <v>359</v>
      </c>
      <c r="M105" s="166" t="s">
        <v>638</v>
      </c>
      <c r="N105" s="127">
        <v>6</v>
      </c>
      <c r="O105" s="133" t="s">
        <v>360</v>
      </c>
      <c r="Q105" s="123"/>
      <c r="R105" s="479"/>
      <c r="T105" s="146" t="str">
        <f>IF(E105="■","070104","")</f>
        <v/>
      </c>
      <c r="U105" s="143" t="str">
        <f>IF(I105="■","070105","")</f>
        <v/>
      </c>
      <c r="V105" s="160" t="str">
        <f>IF(M105="■","070106","")</f>
        <v/>
      </c>
    </row>
    <row r="106" spans="1:22">
      <c r="A106" s="179"/>
      <c r="B106" s="180"/>
      <c r="C106" s="178"/>
      <c r="D106" s="181"/>
      <c r="E106" s="165" t="s">
        <v>638</v>
      </c>
      <c r="F106" s="125">
        <v>7</v>
      </c>
      <c r="G106" s="122" t="s">
        <v>534</v>
      </c>
      <c r="I106" s="166" t="s">
        <v>638</v>
      </c>
      <c r="J106" s="127">
        <v>8</v>
      </c>
      <c r="K106" s="133" t="s">
        <v>479</v>
      </c>
      <c r="M106" s="166" t="s">
        <v>638</v>
      </c>
      <c r="N106" s="127">
        <v>9</v>
      </c>
      <c r="O106" s="133" t="s">
        <v>361</v>
      </c>
      <c r="Q106" s="123"/>
      <c r="R106" s="479"/>
      <c r="T106" s="146" t="str">
        <f>IF(E106="■","070107","")</f>
        <v/>
      </c>
      <c r="U106" s="143" t="str">
        <f>IF(I106="■","070108","")</f>
        <v/>
      </c>
      <c r="V106" s="160" t="str">
        <f>IF(M106="■","070109","")</f>
        <v/>
      </c>
    </row>
    <row r="107" spans="1:22">
      <c r="A107" s="231"/>
      <c r="B107" s="232"/>
      <c r="C107" s="184"/>
      <c r="D107" s="185"/>
      <c r="E107" s="170" t="s">
        <v>638</v>
      </c>
      <c r="F107" s="186">
        <v>99</v>
      </c>
      <c r="G107" s="230" t="s">
        <v>362</v>
      </c>
      <c r="H107" s="187"/>
      <c r="I107" s="188" t="s">
        <v>16</v>
      </c>
      <c r="J107" s="483"/>
      <c r="K107" s="483"/>
      <c r="L107" s="483"/>
      <c r="M107" s="483"/>
      <c r="N107" s="483"/>
      <c r="O107" s="483"/>
      <c r="P107" s="483"/>
      <c r="Q107" s="128" t="s">
        <v>17</v>
      </c>
      <c r="R107" s="129" t="str">
        <f>IF(E107="■","←必須","")</f>
        <v/>
      </c>
      <c r="S107" s="131"/>
      <c r="T107" s="147" t="str">
        <f>IF(E107="■","070199","")</f>
        <v/>
      </c>
      <c r="U107" s="148"/>
      <c r="V107" s="161"/>
    </row>
    <row r="108" spans="1:22">
      <c r="A108" s="233">
        <v>8</v>
      </c>
      <c r="B108" s="491" t="s">
        <v>363</v>
      </c>
      <c r="C108" s="190">
        <v>1</v>
      </c>
      <c r="D108" s="191" t="s">
        <v>364</v>
      </c>
      <c r="E108" s="165" t="s">
        <v>638</v>
      </c>
      <c r="F108" s="192">
        <v>1</v>
      </c>
      <c r="G108" s="235" t="s">
        <v>365</v>
      </c>
      <c r="H108" s="194"/>
      <c r="I108" s="171" t="s">
        <v>638</v>
      </c>
      <c r="J108" s="195">
        <v>2</v>
      </c>
      <c r="K108" s="196" t="s">
        <v>366</v>
      </c>
      <c r="L108" s="197"/>
      <c r="M108" s="171" t="s">
        <v>638</v>
      </c>
      <c r="N108" s="195">
        <v>3</v>
      </c>
      <c r="O108" s="196" t="s">
        <v>480</v>
      </c>
      <c r="P108" s="197"/>
      <c r="Q108" s="130"/>
      <c r="R108" s="479"/>
      <c r="S108" s="131"/>
      <c r="T108" s="144" t="str">
        <f>IF(E108="■","080101","")</f>
        <v/>
      </c>
      <c r="U108" s="145" t="str">
        <f>IF(I108="■","080102","")</f>
        <v/>
      </c>
      <c r="V108" s="159" t="str">
        <f>IF(M108="■","080103","")</f>
        <v/>
      </c>
    </row>
    <row r="109" spans="1:22">
      <c r="A109" s="179"/>
      <c r="B109" s="492"/>
      <c r="C109" s="178"/>
      <c r="D109" s="175"/>
      <c r="E109" s="165" t="s">
        <v>638</v>
      </c>
      <c r="F109" s="125">
        <v>4</v>
      </c>
      <c r="G109" s="122" t="s">
        <v>367</v>
      </c>
      <c r="I109" s="166" t="s">
        <v>638</v>
      </c>
      <c r="J109" s="127">
        <v>5</v>
      </c>
      <c r="K109" s="133" t="s">
        <v>368</v>
      </c>
      <c r="M109" s="166" t="s">
        <v>638</v>
      </c>
      <c r="N109" s="127">
        <v>6</v>
      </c>
      <c r="O109" s="133" t="s">
        <v>369</v>
      </c>
      <c r="Q109" s="123"/>
      <c r="R109" s="479"/>
      <c r="T109" s="146" t="str">
        <f>IF(E109="■","080104","")</f>
        <v/>
      </c>
      <c r="U109" s="143" t="str">
        <f>IF(I109="■","080105","")</f>
        <v/>
      </c>
      <c r="V109" s="160" t="str">
        <f>IF(M109="■","080106","")</f>
        <v/>
      </c>
    </row>
    <row r="110" spans="1:22">
      <c r="A110" s="179"/>
      <c r="B110" s="180"/>
      <c r="C110" s="178"/>
      <c r="D110" s="181"/>
      <c r="E110" s="165" t="s">
        <v>638</v>
      </c>
      <c r="F110" s="125">
        <v>7</v>
      </c>
      <c r="G110" s="198" t="s">
        <v>550</v>
      </c>
      <c r="I110" s="199" t="b">
        <v>0</v>
      </c>
      <c r="M110" s="183" t="b">
        <v>0</v>
      </c>
      <c r="Q110" s="123"/>
      <c r="R110" s="479"/>
      <c r="T110" s="146" t="str">
        <f>IF(E110="■","080107","")</f>
        <v/>
      </c>
      <c r="V110" s="160"/>
    </row>
    <row r="111" spans="1:22">
      <c r="A111" s="179"/>
      <c r="B111" s="180"/>
      <c r="C111" s="184"/>
      <c r="D111" s="185"/>
      <c r="E111" s="170" t="s">
        <v>638</v>
      </c>
      <c r="F111" s="186">
        <v>99</v>
      </c>
      <c r="G111" s="230" t="s">
        <v>370</v>
      </c>
      <c r="H111" s="187"/>
      <c r="I111" s="188" t="s">
        <v>16</v>
      </c>
      <c r="J111" s="483"/>
      <c r="K111" s="483"/>
      <c r="L111" s="483"/>
      <c r="M111" s="483"/>
      <c r="N111" s="483"/>
      <c r="O111" s="483"/>
      <c r="P111" s="483"/>
      <c r="Q111" s="128" t="s">
        <v>17</v>
      </c>
      <c r="R111" s="129" t="str">
        <f>IF(E111="■","←必須","")</f>
        <v/>
      </c>
      <c r="S111" s="131"/>
      <c r="T111" s="147" t="str">
        <f>IF(E111="■","080199","")</f>
        <v/>
      </c>
      <c r="U111" s="148"/>
      <c r="V111" s="161"/>
    </row>
    <row r="112" spans="1:22">
      <c r="A112" s="179"/>
      <c r="B112" s="189"/>
      <c r="C112" s="190">
        <v>2</v>
      </c>
      <c r="D112" s="191" t="s">
        <v>481</v>
      </c>
      <c r="E112" s="165" t="s">
        <v>638</v>
      </c>
      <c r="F112" s="192">
        <v>1</v>
      </c>
      <c r="G112" s="235" t="s">
        <v>371</v>
      </c>
      <c r="H112" s="194"/>
      <c r="I112" s="171" t="s">
        <v>638</v>
      </c>
      <c r="J112" s="195">
        <v>2</v>
      </c>
      <c r="K112" s="196" t="s">
        <v>372</v>
      </c>
      <c r="L112" s="197"/>
      <c r="M112" s="171" t="s">
        <v>638</v>
      </c>
      <c r="N112" s="195">
        <v>3</v>
      </c>
      <c r="O112" s="196" t="s">
        <v>373</v>
      </c>
      <c r="P112" s="197"/>
      <c r="Q112" s="130"/>
      <c r="R112" s="479"/>
      <c r="S112" s="131"/>
      <c r="T112" s="144" t="str">
        <f>IF(E112="■","080201","")</f>
        <v/>
      </c>
      <c r="U112" s="145" t="str">
        <f>IF(I112="■","080202","")</f>
        <v/>
      </c>
      <c r="V112" s="159" t="str">
        <f>IF(M112="■","080203","")</f>
        <v/>
      </c>
    </row>
    <row r="113" spans="1:22">
      <c r="A113" s="179"/>
      <c r="B113" s="189"/>
      <c r="C113" s="178"/>
      <c r="D113" s="175" t="s">
        <v>535</v>
      </c>
      <c r="E113" s="165" t="s">
        <v>638</v>
      </c>
      <c r="F113" s="125">
        <v>4</v>
      </c>
      <c r="G113" s="122" t="s">
        <v>482</v>
      </c>
      <c r="I113" s="166" t="s">
        <v>638</v>
      </c>
      <c r="J113" s="127">
        <v>5</v>
      </c>
      <c r="K113" s="133" t="s">
        <v>374</v>
      </c>
      <c r="M113" s="166" t="s">
        <v>638</v>
      </c>
      <c r="N113" s="127">
        <v>6</v>
      </c>
      <c r="O113" s="133" t="s">
        <v>375</v>
      </c>
      <c r="Q113" s="123"/>
      <c r="R113" s="479"/>
      <c r="T113" s="146" t="str">
        <f>IF(E113="■","080204","")</f>
        <v/>
      </c>
      <c r="U113" s="143" t="str">
        <f>IF(I113="■","080205","")</f>
        <v/>
      </c>
      <c r="V113" s="160" t="str">
        <f>IF(M113="■","080206","")</f>
        <v/>
      </c>
    </row>
    <row r="114" spans="1:22">
      <c r="A114" s="179"/>
      <c r="B114" s="180"/>
      <c r="C114" s="178"/>
      <c r="D114" s="181"/>
      <c r="E114" s="165" t="s">
        <v>638</v>
      </c>
      <c r="F114" s="125">
        <v>7</v>
      </c>
      <c r="G114" s="122" t="s">
        <v>376</v>
      </c>
      <c r="I114" s="166" t="s">
        <v>638</v>
      </c>
      <c r="J114" s="127">
        <v>8</v>
      </c>
      <c r="K114" s="133" t="s">
        <v>377</v>
      </c>
      <c r="M114" s="183" t="b">
        <v>0</v>
      </c>
      <c r="Q114" s="123"/>
      <c r="R114" s="479"/>
      <c r="S114" s="108"/>
      <c r="T114" s="146" t="str">
        <f>IF(E114="■","080207","")</f>
        <v/>
      </c>
      <c r="U114" s="143" t="str">
        <f>IF(I114="■","080208","")</f>
        <v/>
      </c>
      <c r="V114" s="160"/>
    </row>
    <row r="115" spans="1:22">
      <c r="A115" s="179"/>
      <c r="B115" s="180"/>
      <c r="C115" s="184"/>
      <c r="D115" s="185"/>
      <c r="E115" s="170" t="s">
        <v>638</v>
      </c>
      <c r="F115" s="186">
        <v>99</v>
      </c>
      <c r="G115" s="230" t="s">
        <v>378</v>
      </c>
      <c r="H115" s="187"/>
      <c r="I115" s="188" t="s">
        <v>16</v>
      </c>
      <c r="J115" s="483"/>
      <c r="K115" s="483"/>
      <c r="L115" s="483"/>
      <c r="M115" s="483"/>
      <c r="N115" s="483"/>
      <c r="O115" s="483"/>
      <c r="P115" s="483"/>
      <c r="Q115" s="128" t="s">
        <v>17</v>
      </c>
      <c r="R115" s="129" t="str">
        <f>IF(E115="■","←必須","")</f>
        <v/>
      </c>
      <c r="S115" s="131"/>
      <c r="T115" s="147" t="str">
        <f>IF(E115="■","080299","")</f>
        <v/>
      </c>
      <c r="U115" s="148"/>
      <c r="V115" s="161"/>
    </row>
    <row r="116" spans="1:22">
      <c r="A116" s="179"/>
      <c r="B116" s="189"/>
      <c r="C116" s="190">
        <v>3</v>
      </c>
      <c r="D116" s="191" t="s">
        <v>379</v>
      </c>
      <c r="E116" s="165" t="s">
        <v>638</v>
      </c>
      <c r="F116" s="192">
        <v>1</v>
      </c>
      <c r="G116" s="235" t="s">
        <v>380</v>
      </c>
      <c r="H116" s="194"/>
      <c r="I116" s="171" t="s">
        <v>638</v>
      </c>
      <c r="J116" s="195">
        <v>2</v>
      </c>
      <c r="K116" s="196" t="s">
        <v>536</v>
      </c>
      <c r="L116" s="197"/>
      <c r="M116" s="171" t="s">
        <v>638</v>
      </c>
      <c r="N116" s="195">
        <v>3</v>
      </c>
      <c r="O116" s="196" t="s">
        <v>537</v>
      </c>
      <c r="P116" s="197"/>
      <c r="Q116" s="130"/>
      <c r="R116" s="479"/>
      <c r="S116" s="131"/>
      <c r="T116" s="144" t="str">
        <f>IF(E116="■","080301","")</f>
        <v/>
      </c>
      <c r="U116" s="145" t="str">
        <f>IF(I116="■","080302","")</f>
        <v/>
      </c>
      <c r="V116" s="159" t="str">
        <f>IF(M116="■","080303","")</f>
        <v/>
      </c>
    </row>
    <row r="117" spans="1:22">
      <c r="A117" s="179"/>
      <c r="B117" s="189"/>
      <c r="C117" s="178"/>
      <c r="D117" s="175"/>
      <c r="E117" s="165" t="s">
        <v>638</v>
      </c>
      <c r="F117" s="125">
        <v>4</v>
      </c>
      <c r="G117" s="122" t="s">
        <v>381</v>
      </c>
      <c r="I117" s="166" t="s">
        <v>638</v>
      </c>
      <c r="J117" s="127">
        <v>5</v>
      </c>
      <c r="K117" s="133" t="s">
        <v>538</v>
      </c>
      <c r="M117" s="183" t="b">
        <v>0</v>
      </c>
      <c r="Q117" s="123"/>
      <c r="R117" s="479"/>
      <c r="S117" s="108"/>
      <c r="T117" s="146" t="str">
        <f>IF(E117="■","080304","")</f>
        <v/>
      </c>
      <c r="U117" s="143" t="str">
        <f>IF(I117="■","080305","")</f>
        <v/>
      </c>
      <c r="V117" s="160"/>
    </row>
    <row r="118" spans="1:22">
      <c r="A118" s="179"/>
      <c r="B118" s="180"/>
      <c r="C118" s="178"/>
      <c r="D118" s="181"/>
      <c r="E118" s="202" t="b">
        <v>0</v>
      </c>
      <c r="I118" s="199" t="b">
        <v>0</v>
      </c>
      <c r="M118" s="183" t="b">
        <v>0</v>
      </c>
      <c r="Q118" s="123"/>
      <c r="R118" s="479"/>
      <c r="S118" s="108"/>
      <c r="T118" s="146"/>
      <c r="V118" s="160"/>
    </row>
    <row r="119" spans="1:22">
      <c r="A119" s="179"/>
      <c r="B119" s="180"/>
      <c r="C119" s="184"/>
      <c r="D119" s="185"/>
      <c r="E119" s="170" t="s">
        <v>638</v>
      </c>
      <c r="F119" s="186">
        <v>99</v>
      </c>
      <c r="G119" s="230" t="s">
        <v>382</v>
      </c>
      <c r="H119" s="187"/>
      <c r="I119" s="188" t="s">
        <v>16</v>
      </c>
      <c r="J119" s="483"/>
      <c r="K119" s="483"/>
      <c r="L119" s="483"/>
      <c r="M119" s="483"/>
      <c r="N119" s="483"/>
      <c r="O119" s="483"/>
      <c r="P119" s="483"/>
      <c r="Q119" s="128" t="s">
        <v>17</v>
      </c>
      <c r="R119" s="129" t="str">
        <f>IF(E119="■","←必須","")</f>
        <v/>
      </c>
      <c r="S119" s="131"/>
      <c r="T119" s="147" t="str">
        <f>IF(E119="■","080399","")</f>
        <v/>
      </c>
      <c r="U119" s="148"/>
      <c r="V119" s="161"/>
    </row>
    <row r="120" spans="1:22" ht="15" customHeight="1">
      <c r="A120" s="179"/>
      <c r="B120" s="189"/>
      <c r="C120" s="190">
        <v>4</v>
      </c>
      <c r="D120" s="191" t="s">
        <v>383</v>
      </c>
      <c r="E120" s="165" t="s">
        <v>638</v>
      </c>
      <c r="F120" s="192">
        <v>1</v>
      </c>
      <c r="G120" s="235" t="s">
        <v>384</v>
      </c>
      <c r="H120" s="194"/>
      <c r="I120" s="171" t="s">
        <v>638</v>
      </c>
      <c r="J120" s="195">
        <v>2</v>
      </c>
      <c r="K120" s="196" t="s">
        <v>385</v>
      </c>
      <c r="L120" s="197"/>
      <c r="M120" s="171" t="s">
        <v>638</v>
      </c>
      <c r="N120" s="195">
        <v>3</v>
      </c>
      <c r="O120" s="196" t="s">
        <v>539</v>
      </c>
      <c r="P120" s="197"/>
      <c r="Q120" s="130"/>
      <c r="R120" s="479"/>
      <c r="S120" s="131"/>
      <c r="T120" s="144" t="str">
        <f>IF(E120="■","080401","")</f>
        <v/>
      </c>
      <c r="U120" s="145" t="str">
        <f>IF(I120="■","080402","")</f>
        <v/>
      </c>
      <c r="V120" s="159" t="str">
        <f>IF(M120="■","080403","")</f>
        <v/>
      </c>
    </row>
    <row r="121" spans="1:22">
      <c r="A121" s="179"/>
      <c r="B121" s="189"/>
      <c r="C121" s="178"/>
      <c r="D121" s="175"/>
      <c r="E121" s="165" t="s">
        <v>638</v>
      </c>
      <c r="F121" s="125">
        <v>4</v>
      </c>
      <c r="G121" s="122" t="s">
        <v>386</v>
      </c>
      <c r="I121" s="166" t="s">
        <v>638</v>
      </c>
      <c r="J121" s="127">
        <v>5</v>
      </c>
      <c r="K121" s="133" t="s">
        <v>387</v>
      </c>
      <c r="M121" s="166" t="s">
        <v>638</v>
      </c>
      <c r="N121" s="127">
        <v>6</v>
      </c>
      <c r="O121" s="133" t="s">
        <v>388</v>
      </c>
      <c r="Q121" s="123"/>
      <c r="R121" s="479"/>
      <c r="S121" s="108"/>
      <c r="T121" s="146" t="str">
        <f>IF(E121="■","080404","")</f>
        <v/>
      </c>
      <c r="U121" s="143" t="str">
        <f>IF(I121="■","080405","")</f>
        <v/>
      </c>
      <c r="V121" s="160" t="str">
        <f>IF(M121="■","080406","")</f>
        <v/>
      </c>
    </row>
    <row r="122" spans="1:22">
      <c r="A122" s="179"/>
      <c r="B122" s="180"/>
      <c r="C122" s="178"/>
      <c r="D122" s="181"/>
      <c r="E122" s="165" t="s">
        <v>638</v>
      </c>
      <c r="F122" s="125">
        <v>7</v>
      </c>
      <c r="G122" s="122" t="s">
        <v>389</v>
      </c>
      <c r="I122" s="166" t="s">
        <v>638</v>
      </c>
      <c r="J122" s="127">
        <v>8</v>
      </c>
      <c r="K122" s="133" t="s">
        <v>390</v>
      </c>
      <c r="M122" s="166" t="s">
        <v>638</v>
      </c>
      <c r="N122" s="127">
        <v>9</v>
      </c>
      <c r="O122" s="133" t="s">
        <v>391</v>
      </c>
      <c r="Q122" s="123"/>
      <c r="R122" s="479"/>
      <c r="S122" s="108"/>
      <c r="T122" s="146" t="str">
        <f>IF(E122="■","080407","")</f>
        <v/>
      </c>
      <c r="U122" s="143" t="str">
        <f>IF(I122="■","080408","")</f>
        <v/>
      </c>
      <c r="V122" s="160" t="str">
        <f>IF(M122="■","080409","")</f>
        <v/>
      </c>
    </row>
    <row r="123" spans="1:22">
      <c r="A123" s="179"/>
      <c r="B123" s="180"/>
      <c r="C123" s="184"/>
      <c r="D123" s="185"/>
      <c r="E123" s="170" t="s">
        <v>638</v>
      </c>
      <c r="F123" s="186">
        <v>99</v>
      </c>
      <c r="G123" s="230" t="s">
        <v>392</v>
      </c>
      <c r="H123" s="187"/>
      <c r="I123" s="188" t="s">
        <v>16</v>
      </c>
      <c r="J123" s="483"/>
      <c r="K123" s="483"/>
      <c r="L123" s="483"/>
      <c r="M123" s="483"/>
      <c r="N123" s="483"/>
      <c r="O123" s="483"/>
      <c r="P123" s="483"/>
      <c r="Q123" s="128" t="s">
        <v>17</v>
      </c>
      <c r="R123" s="129" t="str">
        <f>IF(E123="■","←必須","")</f>
        <v/>
      </c>
      <c r="S123" s="131"/>
      <c r="T123" s="147" t="str">
        <f>IF(E123="■","080499","")</f>
        <v/>
      </c>
      <c r="U123" s="148"/>
      <c r="V123" s="161"/>
    </row>
    <row r="124" spans="1:22">
      <c r="A124" s="179"/>
      <c r="B124" s="189"/>
      <c r="C124" s="190">
        <v>5</v>
      </c>
      <c r="D124" s="191" t="s">
        <v>393</v>
      </c>
      <c r="E124" s="165" t="s">
        <v>638</v>
      </c>
      <c r="F124" s="192">
        <v>1</v>
      </c>
      <c r="G124" s="235" t="s">
        <v>394</v>
      </c>
      <c r="H124" s="194"/>
      <c r="I124" s="171" t="s">
        <v>638</v>
      </c>
      <c r="J124" s="195">
        <v>2</v>
      </c>
      <c r="K124" s="196" t="s">
        <v>540</v>
      </c>
      <c r="L124" s="197"/>
      <c r="M124" s="171" t="s">
        <v>638</v>
      </c>
      <c r="N124" s="195">
        <v>3</v>
      </c>
      <c r="O124" s="196" t="s">
        <v>541</v>
      </c>
      <c r="P124" s="197"/>
      <c r="Q124" s="130"/>
      <c r="R124" s="479"/>
      <c r="S124" s="131"/>
      <c r="T124" s="144" t="str">
        <f>IF(E124="■","080501","")</f>
        <v/>
      </c>
      <c r="U124" s="145" t="str">
        <f>IF(I124="■","080502","")</f>
        <v/>
      </c>
      <c r="V124" s="159" t="str">
        <f>IF(M124="■","080503","")</f>
        <v/>
      </c>
    </row>
    <row r="125" spans="1:22">
      <c r="A125" s="179"/>
      <c r="B125" s="189"/>
      <c r="C125" s="178"/>
      <c r="D125" s="175"/>
      <c r="E125" s="165" t="s">
        <v>638</v>
      </c>
      <c r="F125" s="125">
        <v>4</v>
      </c>
      <c r="G125" s="122" t="s">
        <v>395</v>
      </c>
      <c r="I125" s="166" t="s">
        <v>638</v>
      </c>
      <c r="J125" s="127">
        <v>5</v>
      </c>
      <c r="K125" s="133" t="s">
        <v>46</v>
      </c>
      <c r="M125" s="183" t="b">
        <v>0</v>
      </c>
      <c r="Q125" s="123"/>
      <c r="R125" s="479"/>
      <c r="S125" s="108"/>
      <c r="T125" s="146" t="str">
        <f>IF(E125="■","080504","")</f>
        <v/>
      </c>
      <c r="U125" s="143" t="str">
        <f>IF(I125="■","080505","")</f>
        <v/>
      </c>
      <c r="V125" s="160"/>
    </row>
    <row r="126" spans="1:22">
      <c r="A126" s="179"/>
      <c r="B126" s="180"/>
      <c r="C126" s="178"/>
      <c r="D126" s="181"/>
      <c r="E126" s="202" t="b">
        <v>0</v>
      </c>
      <c r="I126" s="199" t="b">
        <v>0</v>
      </c>
      <c r="M126" s="183" t="b">
        <v>0</v>
      </c>
      <c r="Q126" s="123"/>
      <c r="R126" s="479"/>
      <c r="S126" s="108"/>
      <c r="T126" s="146"/>
      <c r="V126" s="160"/>
    </row>
    <row r="127" spans="1:22" ht="14.25" thickBot="1">
      <c r="A127" s="203"/>
      <c r="B127" s="204"/>
      <c r="C127" s="205"/>
      <c r="D127" s="206"/>
      <c r="E127" s="172" t="s">
        <v>638</v>
      </c>
      <c r="F127" s="207">
        <v>99</v>
      </c>
      <c r="G127" s="211" t="s">
        <v>396</v>
      </c>
      <c r="H127" s="208"/>
      <c r="I127" s="209" t="s">
        <v>16</v>
      </c>
      <c r="J127" s="488"/>
      <c r="K127" s="488"/>
      <c r="L127" s="488"/>
      <c r="M127" s="488"/>
      <c r="N127" s="488"/>
      <c r="O127" s="488"/>
      <c r="P127" s="488"/>
      <c r="Q127" s="132" t="s">
        <v>17</v>
      </c>
      <c r="R127" s="129" t="str">
        <f>IF(E127="■","←必須","")</f>
        <v/>
      </c>
      <c r="S127" s="131"/>
      <c r="T127" s="147" t="str">
        <f>IF(E127="■","080599","")</f>
        <v/>
      </c>
      <c r="U127" s="148"/>
      <c r="V127" s="161"/>
    </row>
    <row r="128" spans="1:22" ht="15" customHeight="1">
      <c r="A128" s="179">
        <v>9</v>
      </c>
      <c r="B128" s="189" t="s">
        <v>185</v>
      </c>
      <c r="C128" s="178">
        <v>1</v>
      </c>
      <c r="D128" s="175" t="s">
        <v>397</v>
      </c>
      <c r="E128" s="165" t="s">
        <v>638</v>
      </c>
      <c r="F128" s="125">
        <v>1</v>
      </c>
      <c r="G128" s="122" t="s">
        <v>483</v>
      </c>
      <c r="I128" s="169" t="s">
        <v>638</v>
      </c>
      <c r="J128" s="127">
        <v>2</v>
      </c>
      <c r="K128" s="133" t="s">
        <v>398</v>
      </c>
      <c r="M128" s="183" t="b">
        <v>0</v>
      </c>
      <c r="Q128" s="123"/>
      <c r="R128" s="479"/>
      <c r="S128" s="131"/>
      <c r="T128" s="144" t="str">
        <f>IF(E128="■","090101","")</f>
        <v/>
      </c>
      <c r="U128" s="145" t="str">
        <f>IF(I128="■","090102","")</f>
        <v/>
      </c>
      <c r="V128" s="159"/>
    </row>
    <row r="129" spans="1:22">
      <c r="A129" s="179"/>
      <c r="B129" s="189"/>
      <c r="C129" s="178"/>
      <c r="D129" s="175"/>
      <c r="E129" s="202" t="b">
        <v>0</v>
      </c>
      <c r="I129" s="199" t="b">
        <v>0</v>
      </c>
      <c r="M129" s="183"/>
      <c r="Q129" s="123"/>
      <c r="R129" s="479"/>
      <c r="S129" s="108"/>
      <c r="T129" s="146"/>
      <c r="V129" s="160"/>
    </row>
    <row r="130" spans="1:22">
      <c r="A130" s="179"/>
      <c r="B130" s="180"/>
      <c r="C130" s="178"/>
      <c r="D130" s="181"/>
      <c r="E130" s="202" t="b">
        <v>0</v>
      </c>
      <c r="I130" s="199" t="b">
        <v>0</v>
      </c>
      <c r="M130" s="183"/>
      <c r="Q130" s="123"/>
      <c r="R130" s="479"/>
      <c r="S130" s="108"/>
      <c r="T130" s="146"/>
      <c r="V130" s="160"/>
    </row>
    <row r="131" spans="1:22" ht="17.25" customHeight="1">
      <c r="A131" s="179"/>
      <c r="B131" s="180"/>
      <c r="C131" s="184"/>
      <c r="D131" s="185"/>
      <c r="E131" s="170" t="s">
        <v>638</v>
      </c>
      <c r="F131" s="186">
        <v>99</v>
      </c>
      <c r="G131" s="230" t="s">
        <v>399</v>
      </c>
      <c r="H131" s="187"/>
      <c r="I131" s="188" t="s">
        <v>16</v>
      </c>
      <c r="J131" s="483"/>
      <c r="K131" s="483"/>
      <c r="L131" s="483"/>
      <c r="M131" s="483"/>
      <c r="N131" s="483"/>
      <c r="O131" s="483"/>
      <c r="P131" s="483"/>
      <c r="Q131" s="128" t="s">
        <v>17</v>
      </c>
      <c r="R131" s="129" t="str">
        <f>IF(E131="■","←必須","")</f>
        <v/>
      </c>
      <c r="S131" s="131"/>
      <c r="T131" s="147" t="str">
        <f>IF(E131="■","090199","")</f>
        <v/>
      </c>
      <c r="U131" s="148"/>
      <c r="V131" s="161"/>
    </row>
    <row r="132" spans="1:22">
      <c r="A132" s="179"/>
      <c r="B132" s="189"/>
      <c r="C132" s="190">
        <v>2</v>
      </c>
      <c r="D132" s="191" t="s">
        <v>400</v>
      </c>
      <c r="E132" s="165" t="s">
        <v>638</v>
      </c>
      <c r="F132" s="192">
        <v>1</v>
      </c>
      <c r="G132" s="235" t="s">
        <v>401</v>
      </c>
      <c r="H132" s="194"/>
      <c r="I132" s="171" t="s">
        <v>638</v>
      </c>
      <c r="J132" s="195">
        <v>2</v>
      </c>
      <c r="K132" s="196" t="s">
        <v>402</v>
      </c>
      <c r="L132" s="197"/>
      <c r="M132" s="171" t="s">
        <v>638</v>
      </c>
      <c r="N132" s="195">
        <v>3</v>
      </c>
      <c r="O132" s="196" t="s">
        <v>403</v>
      </c>
      <c r="P132" s="197"/>
      <c r="Q132" s="130"/>
      <c r="R132" s="479"/>
      <c r="S132" s="131"/>
      <c r="T132" s="144" t="str">
        <f>IF(E132="■","090201","")</f>
        <v/>
      </c>
      <c r="U132" s="145" t="str">
        <f>IF(I132="■","090202","")</f>
        <v/>
      </c>
      <c r="V132" s="159" t="str">
        <f>IF(M132="■","090203","")</f>
        <v/>
      </c>
    </row>
    <row r="133" spans="1:22">
      <c r="A133" s="179"/>
      <c r="B133" s="189"/>
      <c r="C133" s="178"/>
      <c r="D133" s="175"/>
      <c r="E133" s="165" t="s">
        <v>638</v>
      </c>
      <c r="F133" s="125">
        <v>4</v>
      </c>
      <c r="G133" s="122" t="s">
        <v>404</v>
      </c>
      <c r="I133" s="166" t="s">
        <v>638</v>
      </c>
      <c r="J133" s="127">
        <v>5</v>
      </c>
      <c r="K133" s="133" t="s">
        <v>405</v>
      </c>
      <c r="M133" s="166" t="s">
        <v>638</v>
      </c>
      <c r="N133" s="127">
        <v>6</v>
      </c>
      <c r="O133" s="133" t="s">
        <v>406</v>
      </c>
      <c r="Q133" s="123"/>
      <c r="R133" s="479"/>
      <c r="S133" s="108"/>
      <c r="T133" s="146" t="str">
        <f>IF(E133="■","090204","")</f>
        <v/>
      </c>
      <c r="U133" s="143" t="str">
        <f>IF(I133="■","090205","")</f>
        <v/>
      </c>
      <c r="V133" s="160" t="str">
        <f>IF(M133="■","090206","")</f>
        <v/>
      </c>
    </row>
    <row r="134" spans="1:22">
      <c r="A134" s="179"/>
      <c r="B134" s="180"/>
      <c r="C134" s="178"/>
      <c r="D134" s="181"/>
      <c r="E134" s="202" t="b">
        <v>0</v>
      </c>
      <c r="I134" s="199"/>
      <c r="M134" s="183"/>
      <c r="Q134" s="123"/>
      <c r="R134" s="479"/>
      <c r="S134" s="108"/>
      <c r="T134" s="146"/>
      <c r="V134" s="160"/>
    </row>
    <row r="135" spans="1:22">
      <c r="A135" s="179"/>
      <c r="B135" s="180"/>
      <c r="C135" s="184"/>
      <c r="D135" s="185"/>
      <c r="E135" s="170" t="s">
        <v>638</v>
      </c>
      <c r="F135" s="186">
        <v>99</v>
      </c>
      <c r="G135" s="230" t="s">
        <v>407</v>
      </c>
      <c r="H135" s="187"/>
      <c r="I135" s="188" t="s">
        <v>16</v>
      </c>
      <c r="J135" s="483"/>
      <c r="K135" s="483"/>
      <c r="L135" s="483"/>
      <c r="M135" s="483"/>
      <c r="N135" s="483"/>
      <c r="O135" s="483"/>
      <c r="P135" s="483"/>
      <c r="Q135" s="128" t="s">
        <v>17</v>
      </c>
      <c r="R135" s="129" t="str">
        <f>IF(E135="■","←必須","")</f>
        <v/>
      </c>
      <c r="S135" s="131"/>
      <c r="T135" s="147" t="str">
        <f>IF(E135="■","090299","")</f>
        <v/>
      </c>
      <c r="U135" s="148"/>
      <c r="V135" s="161"/>
    </row>
    <row r="136" spans="1:22">
      <c r="A136" s="179"/>
      <c r="B136" s="189"/>
      <c r="C136" s="190">
        <v>3</v>
      </c>
      <c r="D136" s="191" t="s">
        <v>408</v>
      </c>
      <c r="E136" s="165" t="s">
        <v>638</v>
      </c>
      <c r="F136" s="192">
        <v>1</v>
      </c>
      <c r="G136" s="235" t="s">
        <v>409</v>
      </c>
      <c r="H136" s="194"/>
      <c r="I136" s="171" t="s">
        <v>638</v>
      </c>
      <c r="J136" s="195">
        <v>2</v>
      </c>
      <c r="K136" s="196" t="s">
        <v>410</v>
      </c>
      <c r="L136" s="197"/>
      <c r="M136" s="171" t="s">
        <v>638</v>
      </c>
      <c r="N136" s="195">
        <v>3</v>
      </c>
      <c r="O136" s="210" t="s">
        <v>496</v>
      </c>
      <c r="P136" s="197"/>
      <c r="Q136" s="130"/>
      <c r="R136" s="479"/>
      <c r="S136" s="131"/>
      <c r="T136" s="144" t="str">
        <f>IF(E136="■","090301","")</f>
        <v/>
      </c>
      <c r="U136" s="145" t="str">
        <f>IF(I136="■","090302","")</f>
        <v/>
      </c>
      <c r="V136" s="159" t="str">
        <f>IF(M136="■","090303","")</f>
        <v/>
      </c>
    </row>
    <row r="137" spans="1:22">
      <c r="A137" s="179"/>
      <c r="B137" s="189"/>
      <c r="C137" s="178"/>
      <c r="D137" s="175"/>
      <c r="E137" s="165" t="s">
        <v>638</v>
      </c>
      <c r="F137" s="125">
        <v>4</v>
      </c>
      <c r="G137" s="198" t="s">
        <v>497</v>
      </c>
      <c r="I137" s="166" t="s">
        <v>638</v>
      </c>
      <c r="J137" s="127">
        <v>5</v>
      </c>
      <c r="K137" s="133" t="s">
        <v>47</v>
      </c>
      <c r="M137" s="183" t="b">
        <v>0</v>
      </c>
      <c r="Q137" s="123"/>
      <c r="R137" s="479"/>
      <c r="S137" s="108"/>
      <c r="T137" s="146" t="str">
        <f>IF(E137="■","090304","")</f>
        <v/>
      </c>
      <c r="U137" s="143" t="str">
        <f>IF(I137="■","090305","")</f>
        <v/>
      </c>
      <c r="V137" s="160" t="str">
        <f>IF(M137="■","090306","")</f>
        <v/>
      </c>
    </row>
    <row r="138" spans="1:22">
      <c r="A138" s="179"/>
      <c r="B138" s="180"/>
      <c r="C138" s="178"/>
      <c r="D138" s="181"/>
      <c r="E138" s="202" t="s">
        <v>638</v>
      </c>
      <c r="I138" s="199"/>
      <c r="M138" s="183"/>
      <c r="Q138" s="123"/>
      <c r="R138" s="479"/>
      <c r="S138" s="108"/>
      <c r="T138" s="146"/>
      <c r="V138" s="160"/>
    </row>
    <row r="139" spans="1:22">
      <c r="A139" s="179"/>
      <c r="B139" s="180"/>
      <c r="C139" s="184"/>
      <c r="D139" s="185"/>
      <c r="E139" s="170" t="s">
        <v>638</v>
      </c>
      <c r="F139" s="186">
        <v>99</v>
      </c>
      <c r="G139" s="230" t="s">
        <v>411</v>
      </c>
      <c r="H139" s="187"/>
      <c r="I139" s="188" t="s">
        <v>16</v>
      </c>
      <c r="J139" s="483"/>
      <c r="K139" s="483"/>
      <c r="L139" s="483"/>
      <c r="M139" s="483"/>
      <c r="N139" s="483"/>
      <c r="O139" s="483"/>
      <c r="P139" s="483"/>
      <c r="Q139" s="128" t="s">
        <v>17</v>
      </c>
      <c r="R139" s="129" t="str">
        <f>IF(E139="■","←必須","")</f>
        <v/>
      </c>
      <c r="S139" s="131"/>
      <c r="T139" s="147" t="str">
        <f>IF(E139="■","090399","")</f>
        <v/>
      </c>
      <c r="U139" s="148"/>
      <c r="V139" s="161"/>
    </row>
    <row r="140" spans="1:22">
      <c r="A140" s="179"/>
      <c r="B140" s="189"/>
      <c r="C140" s="190">
        <v>4</v>
      </c>
      <c r="D140" s="191" t="s">
        <v>412</v>
      </c>
      <c r="E140" s="165" t="s">
        <v>638</v>
      </c>
      <c r="F140" s="192">
        <v>1</v>
      </c>
      <c r="G140" s="235" t="s">
        <v>413</v>
      </c>
      <c r="H140" s="194"/>
      <c r="I140" s="171" t="s">
        <v>638</v>
      </c>
      <c r="J140" s="195">
        <v>2</v>
      </c>
      <c r="K140" s="196" t="s">
        <v>414</v>
      </c>
      <c r="L140" s="197"/>
      <c r="M140" s="237" t="b">
        <v>0</v>
      </c>
      <c r="N140" s="195"/>
      <c r="O140" s="196"/>
      <c r="P140" s="197"/>
      <c r="Q140" s="130"/>
      <c r="R140" s="479"/>
      <c r="S140" s="131"/>
      <c r="T140" s="144" t="str">
        <f>IF(E140="■","090401","")</f>
        <v/>
      </c>
      <c r="U140" s="145" t="str">
        <f>IF(I140="■","090402","")</f>
        <v/>
      </c>
      <c r="V140" s="159"/>
    </row>
    <row r="141" spans="1:22">
      <c r="A141" s="179"/>
      <c r="B141" s="189"/>
      <c r="C141" s="178"/>
      <c r="D141" s="175" t="s">
        <v>415</v>
      </c>
      <c r="E141" s="202" t="b">
        <v>0</v>
      </c>
      <c r="I141" s="199" t="b">
        <v>0</v>
      </c>
      <c r="M141" s="183" t="b">
        <v>0</v>
      </c>
      <c r="Q141" s="123"/>
      <c r="R141" s="479"/>
      <c r="S141" s="108"/>
      <c r="T141" s="146"/>
      <c r="V141" s="160"/>
    </row>
    <row r="142" spans="1:22">
      <c r="A142" s="179"/>
      <c r="B142" s="180"/>
      <c r="C142" s="178"/>
      <c r="D142" s="181"/>
      <c r="E142" s="202" t="b">
        <v>0</v>
      </c>
      <c r="I142" s="199" t="b">
        <v>0</v>
      </c>
      <c r="M142" s="183" t="b">
        <v>0</v>
      </c>
      <c r="Q142" s="123"/>
      <c r="R142" s="479"/>
      <c r="S142" s="108"/>
      <c r="T142" s="146"/>
      <c r="V142" s="160"/>
    </row>
    <row r="143" spans="1:22">
      <c r="A143" s="179"/>
      <c r="B143" s="180"/>
      <c r="C143" s="184"/>
      <c r="D143" s="185"/>
      <c r="E143" s="170" t="s">
        <v>638</v>
      </c>
      <c r="F143" s="186">
        <v>99</v>
      </c>
      <c r="G143" s="230" t="s">
        <v>416</v>
      </c>
      <c r="H143" s="187"/>
      <c r="I143" s="188" t="s">
        <v>16</v>
      </c>
      <c r="J143" s="483"/>
      <c r="K143" s="483"/>
      <c r="L143" s="483"/>
      <c r="M143" s="483"/>
      <c r="N143" s="483"/>
      <c r="O143" s="483"/>
      <c r="P143" s="483"/>
      <c r="Q143" s="128" t="s">
        <v>17</v>
      </c>
      <c r="R143" s="129" t="str">
        <f>IF(E143="■","←必須","")</f>
        <v/>
      </c>
      <c r="S143" s="131"/>
      <c r="T143" s="147" t="str">
        <f>IF(E143="■","090499","")</f>
        <v/>
      </c>
      <c r="U143" s="148"/>
      <c r="V143" s="161"/>
    </row>
    <row r="144" spans="1:22">
      <c r="A144" s="179"/>
      <c r="B144" s="189"/>
      <c r="C144" s="190">
        <v>5</v>
      </c>
      <c r="D144" s="191" t="s">
        <v>167</v>
      </c>
      <c r="E144" s="165" t="s">
        <v>638</v>
      </c>
      <c r="F144" s="192">
        <v>1</v>
      </c>
      <c r="G144" s="235" t="s">
        <v>417</v>
      </c>
      <c r="H144" s="194"/>
      <c r="I144" s="171" t="s">
        <v>638</v>
      </c>
      <c r="J144" s="195">
        <v>2</v>
      </c>
      <c r="K144" s="196" t="s">
        <v>484</v>
      </c>
      <c r="L144" s="197"/>
      <c r="M144" s="171" t="s">
        <v>638</v>
      </c>
      <c r="N144" s="195">
        <v>3</v>
      </c>
      <c r="O144" s="210" t="s">
        <v>545</v>
      </c>
      <c r="P144" s="197"/>
      <c r="Q144" s="130"/>
      <c r="R144" s="479"/>
      <c r="S144" s="131"/>
      <c r="T144" s="144" t="str">
        <f>IF(E144="■","090501","")</f>
        <v/>
      </c>
      <c r="U144" s="145" t="str">
        <f>IF(I144="■","090502","")</f>
        <v/>
      </c>
      <c r="V144" s="159" t="str">
        <f>IF(M144="■","090503","")</f>
        <v/>
      </c>
    </row>
    <row r="145" spans="1:22">
      <c r="A145" s="179"/>
      <c r="B145" s="189"/>
      <c r="C145" s="178"/>
      <c r="D145" s="175" t="s">
        <v>485</v>
      </c>
      <c r="E145" s="165" t="s">
        <v>638</v>
      </c>
      <c r="F145" s="125">
        <v>4</v>
      </c>
      <c r="G145" s="198" t="s">
        <v>506</v>
      </c>
      <c r="I145" s="166" t="s">
        <v>638</v>
      </c>
      <c r="J145" s="127">
        <v>5</v>
      </c>
      <c r="K145" s="133" t="s">
        <v>418</v>
      </c>
      <c r="M145" s="166" t="s">
        <v>638</v>
      </c>
      <c r="N145" s="127">
        <v>6</v>
      </c>
      <c r="O145" s="133" t="s">
        <v>419</v>
      </c>
      <c r="Q145" s="123"/>
      <c r="R145" s="479"/>
      <c r="S145" s="108"/>
      <c r="T145" s="146" t="str">
        <f>IF(E145="■","090504","")</f>
        <v/>
      </c>
      <c r="U145" s="143" t="str">
        <f>IF(I145="■","090505","")</f>
        <v/>
      </c>
      <c r="V145" s="160" t="str">
        <f>IF(M145="■","090506","")</f>
        <v/>
      </c>
    </row>
    <row r="146" spans="1:22">
      <c r="A146" s="179"/>
      <c r="B146" s="180"/>
      <c r="C146" s="178"/>
      <c r="D146" s="181"/>
      <c r="E146" s="165" t="s">
        <v>638</v>
      </c>
      <c r="F146" s="125">
        <v>7</v>
      </c>
      <c r="G146" s="122" t="s">
        <v>420</v>
      </c>
      <c r="I146" s="199" t="b">
        <v>0</v>
      </c>
      <c r="M146" s="183"/>
      <c r="Q146" s="123"/>
      <c r="R146" s="479"/>
      <c r="S146" s="108"/>
      <c r="T146" s="146" t="str">
        <f>IF(E146="■","090507","")</f>
        <v/>
      </c>
      <c r="V146" s="160"/>
    </row>
    <row r="147" spans="1:22">
      <c r="A147" s="179"/>
      <c r="B147" s="180"/>
      <c r="C147" s="184"/>
      <c r="D147" s="185"/>
      <c r="E147" s="170" t="s">
        <v>638</v>
      </c>
      <c r="F147" s="186">
        <v>99</v>
      </c>
      <c r="G147" s="230" t="s">
        <v>421</v>
      </c>
      <c r="H147" s="187"/>
      <c r="I147" s="188" t="s">
        <v>16</v>
      </c>
      <c r="J147" s="483"/>
      <c r="K147" s="483"/>
      <c r="L147" s="483"/>
      <c r="M147" s="483"/>
      <c r="N147" s="483"/>
      <c r="O147" s="483"/>
      <c r="P147" s="483"/>
      <c r="Q147" s="128" t="s">
        <v>17</v>
      </c>
      <c r="R147" s="129" t="str">
        <f>IF(E147="■","←必須","")</f>
        <v/>
      </c>
      <c r="S147" s="131"/>
      <c r="T147" s="147" t="str">
        <f>IF(E147="■","090599","")</f>
        <v/>
      </c>
      <c r="U147" s="148"/>
      <c r="V147" s="161"/>
    </row>
    <row r="148" spans="1:22">
      <c r="A148" s="179"/>
      <c r="B148" s="189"/>
      <c r="C148" s="190">
        <v>6</v>
      </c>
      <c r="D148" s="191" t="s">
        <v>422</v>
      </c>
      <c r="E148" s="165" t="s">
        <v>638</v>
      </c>
      <c r="F148" s="192">
        <v>1</v>
      </c>
      <c r="G148" s="235" t="s">
        <v>423</v>
      </c>
      <c r="H148" s="194"/>
      <c r="I148" s="171" t="s">
        <v>638</v>
      </c>
      <c r="J148" s="195">
        <v>2</v>
      </c>
      <c r="K148" s="196" t="s">
        <v>424</v>
      </c>
      <c r="L148" s="197"/>
      <c r="M148" s="171" t="s">
        <v>638</v>
      </c>
      <c r="N148" s="195">
        <v>3</v>
      </c>
      <c r="O148" s="196" t="s">
        <v>425</v>
      </c>
      <c r="P148" s="197"/>
      <c r="Q148" s="130"/>
      <c r="R148" s="479"/>
      <c r="S148" s="131"/>
      <c r="T148" s="144" t="str">
        <f>IF(E148="■","090601","")</f>
        <v/>
      </c>
      <c r="U148" s="145" t="str">
        <f>IF(I148="■","090602","")</f>
        <v/>
      </c>
      <c r="V148" s="159" t="str">
        <f>IF(M148="■","090603","")</f>
        <v/>
      </c>
    </row>
    <row r="149" spans="1:22">
      <c r="A149" s="179"/>
      <c r="B149" s="189"/>
      <c r="C149" s="178"/>
      <c r="D149" s="175" t="s">
        <v>426</v>
      </c>
      <c r="E149" s="165" t="s">
        <v>638</v>
      </c>
      <c r="F149" s="125">
        <v>4</v>
      </c>
      <c r="G149" s="122" t="s">
        <v>48</v>
      </c>
      <c r="I149" s="199" t="b">
        <v>0</v>
      </c>
      <c r="M149" s="183" t="b">
        <v>0</v>
      </c>
      <c r="Q149" s="123"/>
      <c r="R149" s="479"/>
      <c r="S149" s="108"/>
      <c r="T149" s="146" t="str">
        <f>IF(E149="■","090604","")</f>
        <v/>
      </c>
      <c r="V149" s="160"/>
    </row>
    <row r="150" spans="1:22">
      <c r="A150" s="179"/>
      <c r="B150" s="180"/>
      <c r="C150" s="178"/>
      <c r="D150" s="181"/>
      <c r="E150" s="202" t="b">
        <v>0</v>
      </c>
      <c r="I150" s="199" t="b">
        <v>0</v>
      </c>
      <c r="M150" s="183" t="b">
        <v>0</v>
      </c>
      <c r="Q150" s="123"/>
      <c r="R150" s="479"/>
      <c r="S150" s="108"/>
      <c r="T150" s="146"/>
      <c r="V150" s="160"/>
    </row>
    <row r="151" spans="1:22">
      <c r="A151" s="179"/>
      <c r="B151" s="180"/>
      <c r="C151" s="184"/>
      <c r="D151" s="185"/>
      <c r="E151" s="170" t="s">
        <v>638</v>
      </c>
      <c r="F151" s="186">
        <v>99</v>
      </c>
      <c r="G151" s="230" t="s">
        <v>427</v>
      </c>
      <c r="H151" s="187"/>
      <c r="I151" s="188" t="s">
        <v>16</v>
      </c>
      <c r="J151" s="483"/>
      <c r="K151" s="483"/>
      <c r="L151" s="483"/>
      <c r="M151" s="483"/>
      <c r="N151" s="483"/>
      <c r="O151" s="483"/>
      <c r="P151" s="483"/>
      <c r="Q151" s="128" t="s">
        <v>17</v>
      </c>
      <c r="R151" s="129" t="str">
        <f>IF(E151="■","←必須","")</f>
        <v/>
      </c>
      <c r="S151" s="131"/>
      <c r="T151" s="147" t="str">
        <f>IF(E151="■","090699","")</f>
        <v/>
      </c>
      <c r="U151" s="148"/>
      <c r="V151" s="161"/>
    </row>
    <row r="152" spans="1:22">
      <c r="A152" s="179"/>
      <c r="B152" s="189"/>
      <c r="C152" s="190">
        <v>7</v>
      </c>
      <c r="D152" s="191" t="s">
        <v>428</v>
      </c>
      <c r="E152" s="165" t="s">
        <v>638</v>
      </c>
      <c r="F152" s="192">
        <v>1</v>
      </c>
      <c r="G152" s="235" t="s">
        <v>429</v>
      </c>
      <c r="H152" s="194"/>
      <c r="I152" s="171" t="s">
        <v>638</v>
      </c>
      <c r="J152" s="195">
        <v>2</v>
      </c>
      <c r="K152" s="196" t="s">
        <v>430</v>
      </c>
      <c r="L152" s="197"/>
      <c r="M152" s="171" t="s">
        <v>638</v>
      </c>
      <c r="N152" s="195">
        <v>3</v>
      </c>
      <c r="O152" s="196" t="s">
        <v>50</v>
      </c>
      <c r="P152" s="197"/>
      <c r="Q152" s="130"/>
      <c r="R152" s="479"/>
      <c r="S152" s="131"/>
      <c r="T152" s="144" t="str">
        <f>IF(E152="■","090701","")</f>
        <v/>
      </c>
      <c r="U152" s="145" t="str">
        <f>IF(I152="■","090702","")</f>
        <v/>
      </c>
      <c r="V152" s="159" t="str">
        <f>IF(M152="■","090703","")</f>
        <v/>
      </c>
    </row>
    <row r="153" spans="1:22">
      <c r="A153" s="179"/>
      <c r="B153" s="189"/>
      <c r="C153" s="178"/>
      <c r="D153" s="175" t="s">
        <v>49</v>
      </c>
      <c r="E153" s="165" t="s">
        <v>638</v>
      </c>
      <c r="F153" s="125">
        <v>4</v>
      </c>
      <c r="G153" s="122" t="s">
        <v>2</v>
      </c>
      <c r="I153" s="166" t="s">
        <v>638</v>
      </c>
      <c r="J153" s="127">
        <v>5</v>
      </c>
      <c r="K153" s="133" t="s">
        <v>431</v>
      </c>
      <c r="M153" s="166" t="s">
        <v>638</v>
      </c>
      <c r="N153" s="127">
        <v>6</v>
      </c>
      <c r="O153" s="133" t="s">
        <v>432</v>
      </c>
      <c r="Q153" s="123"/>
      <c r="R153" s="479"/>
      <c r="S153" s="108"/>
      <c r="T153" s="146" t="str">
        <f>IF(E153="■","090704","")</f>
        <v/>
      </c>
      <c r="U153" s="143" t="str">
        <f>IF(I153="■","090705","")</f>
        <v/>
      </c>
      <c r="V153" s="160" t="str">
        <f>IF(M153="■","090706","")</f>
        <v/>
      </c>
    </row>
    <row r="154" spans="1:22">
      <c r="A154" s="179"/>
      <c r="B154" s="180"/>
      <c r="C154" s="178"/>
      <c r="D154" s="181"/>
      <c r="E154" s="202" t="b">
        <v>0</v>
      </c>
      <c r="I154" s="199" t="b">
        <v>0</v>
      </c>
      <c r="M154" s="183" t="b">
        <v>0</v>
      </c>
      <c r="Q154" s="123"/>
      <c r="R154" s="479"/>
      <c r="S154" s="108"/>
      <c r="T154" s="146"/>
      <c r="V154" s="160"/>
    </row>
    <row r="155" spans="1:22">
      <c r="A155" s="179"/>
      <c r="B155" s="180"/>
      <c r="C155" s="184"/>
      <c r="D155" s="185"/>
      <c r="E155" s="170" t="s">
        <v>638</v>
      </c>
      <c r="F155" s="186">
        <v>99</v>
      </c>
      <c r="G155" s="230" t="s">
        <v>433</v>
      </c>
      <c r="H155" s="187"/>
      <c r="I155" s="188" t="s">
        <v>16</v>
      </c>
      <c r="J155" s="483"/>
      <c r="K155" s="483"/>
      <c r="L155" s="483"/>
      <c r="M155" s="483"/>
      <c r="N155" s="483"/>
      <c r="O155" s="483"/>
      <c r="P155" s="483"/>
      <c r="Q155" s="128" t="s">
        <v>17</v>
      </c>
      <c r="R155" s="129" t="str">
        <f>IF(E155="■","←必須","")</f>
        <v/>
      </c>
      <c r="S155" s="131"/>
      <c r="T155" s="147" t="str">
        <f>IF(E155="■","090799","")</f>
        <v/>
      </c>
      <c r="U155" s="148"/>
      <c r="V155" s="161"/>
    </row>
    <row r="156" spans="1:22">
      <c r="A156" s="179"/>
      <c r="B156" s="189"/>
      <c r="C156" s="190">
        <v>8</v>
      </c>
      <c r="D156" s="191" t="s">
        <v>434</v>
      </c>
      <c r="E156" s="165" t="s">
        <v>638</v>
      </c>
      <c r="F156" s="192">
        <v>1</v>
      </c>
      <c r="G156" s="235" t="s">
        <v>435</v>
      </c>
      <c r="H156" s="194"/>
      <c r="I156" s="171" t="s">
        <v>638</v>
      </c>
      <c r="J156" s="195">
        <v>2</v>
      </c>
      <c r="K156" s="196" t="s">
        <v>436</v>
      </c>
      <c r="L156" s="197"/>
      <c r="M156" s="171" t="s">
        <v>638</v>
      </c>
      <c r="N156" s="195">
        <v>3</v>
      </c>
      <c r="O156" s="196" t="s">
        <v>437</v>
      </c>
      <c r="P156" s="197"/>
      <c r="Q156" s="130"/>
      <c r="R156" s="479"/>
      <c r="S156" s="131"/>
      <c r="T156" s="144" t="str">
        <f>IF(E156="■","090801","")</f>
        <v/>
      </c>
      <c r="U156" s="145" t="str">
        <f>IF(I156="■","090802","")</f>
        <v/>
      </c>
      <c r="V156" s="159" t="str">
        <f>IF(M156="■","090803","")</f>
        <v/>
      </c>
    </row>
    <row r="157" spans="1:22">
      <c r="A157" s="179"/>
      <c r="B157" s="189"/>
      <c r="C157" s="178"/>
      <c r="D157" s="175" t="s">
        <v>426</v>
      </c>
      <c r="E157" s="165" t="s">
        <v>638</v>
      </c>
      <c r="F157" s="125">
        <v>4</v>
      </c>
      <c r="G157" s="122" t="s">
        <v>51</v>
      </c>
      <c r="I157" s="166" t="s">
        <v>638</v>
      </c>
      <c r="J157" s="127">
        <v>5</v>
      </c>
      <c r="K157" s="133" t="s">
        <v>52</v>
      </c>
      <c r="M157" s="166" t="s">
        <v>638</v>
      </c>
      <c r="N157" s="127">
        <v>6</v>
      </c>
      <c r="O157" s="133" t="s">
        <v>438</v>
      </c>
      <c r="Q157" s="123"/>
      <c r="R157" s="479"/>
      <c r="S157" s="108"/>
      <c r="T157" s="146" t="str">
        <f>IF(E157="■","090804","")</f>
        <v/>
      </c>
      <c r="U157" s="143" t="str">
        <f>IF(I157="■","090805","")</f>
        <v/>
      </c>
      <c r="V157" s="160" t="str">
        <f>IF(M157="■","090806","")</f>
        <v/>
      </c>
    </row>
    <row r="158" spans="1:22">
      <c r="A158" s="179"/>
      <c r="B158" s="180"/>
      <c r="C158" s="178"/>
      <c r="D158" s="181"/>
      <c r="E158" s="165" t="s">
        <v>638</v>
      </c>
      <c r="F158" s="125">
        <v>7</v>
      </c>
      <c r="G158" s="122" t="s">
        <v>439</v>
      </c>
      <c r="I158" s="166" t="s">
        <v>638</v>
      </c>
      <c r="J158" s="127">
        <v>8</v>
      </c>
      <c r="K158" s="133" t="s">
        <v>486</v>
      </c>
      <c r="M158" s="166" t="s">
        <v>638</v>
      </c>
      <c r="N158" s="127">
        <v>9</v>
      </c>
      <c r="O158" s="133" t="s">
        <v>53</v>
      </c>
      <c r="Q158" s="123"/>
      <c r="R158" s="479"/>
      <c r="S158" s="108"/>
      <c r="T158" s="146" t="str">
        <f>IF(E158="■","090807","")</f>
        <v/>
      </c>
      <c r="U158" s="143" t="str">
        <f>IF(I158="■","090808","")</f>
        <v/>
      </c>
      <c r="V158" s="160" t="str">
        <f>IF(M158="■","090809","")</f>
        <v/>
      </c>
    </row>
    <row r="159" spans="1:22">
      <c r="A159" s="179"/>
      <c r="B159" s="180"/>
      <c r="C159" s="184"/>
      <c r="D159" s="185"/>
      <c r="E159" s="170" t="s">
        <v>638</v>
      </c>
      <c r="F159" s="186">
        <v>99</v>
      </c>
      <c r="G159" s="230" t="s">
        <v>396</v>
      </c>
      <c r="H159" s="187"/>
      <c r="I159" s="188" t="s">
        <v>16</v>
      </c>
      <c r="J159" s="483"/>
      <c r="K159" s="483"/>
      <c r="L159" s="483"/>
      <c r="M159" s="483"/>
      <c r="N159" s="483"/>
      <c r="O159" s="483"/>
      <c r="P159" s="483"/>
      <c r="Q159" s="128" t="s">
        <v>17</v>
      </c>
      <c r="R159" s="129" t="str">
        <f>IF(E159="■","←必須","")</f>
        <v/>
      </c>
      <c r="S159" s="131"/>
      <c r="T159" s="147" t="str">
        <f>IF(E159="■","090899","")</f>
        <v/>
      </c>
      <c r="U159" s="148"/>
      <c r="V159" s="161"/>
    </row>
    <row r="160" spans="1:22">
      <c r="A160" s="179"/>
      <c r="B160" s="189"/>
      <c r="C160" s="190">
        <v>9</v>
      </c>
      <c r="D160" s="191" t="s">
        <v>440</v>
      </c>
      <c r="E160" s="165" t="s">
        <v>638</v>
      </c>
      <c r="F160" s="192">
        <v>1</v>
      </c>
      <c r="G160" s="235" t="s">
        <v>441</v>
      </c>
      <c r="H160" s="194"/>
      <c r="I160" s="171" t="s">
        <v>638</v>
      </c>
      <c r="J160" s="195">
        <v>2</v>
      </c>
      <c r="K160" s="196" t="s">
        <v>442</v>
      </c>
      <c r="L160" s="197"/>
      <c r="M160" s="171" t="s">
        <v>638</v>
      </c>
      <c r="N160" s="195">
        <v>3</v>
      </c>
      <c r="O160" s="196" t="s">
        <v>443</v>
      </c>
      <c r="P160" s="197"/>
      <c r="Q160" s="130"/>
      <c r="R160" s="479"/>
      <c r="S160" s="131"/>
      <c r="T160" s="144" t="str">
        <f>IF(E160="■","090901","")</f>
        <v/>
      </c>
      <c r="U160" s="145" t="str">
        <f>IF(I160="■","090902","")</f>
        <v/>
      </c>
      <c r="V160" s="159" t="str">
        <f>IF(M160="■","090903","")</f>
        <v/>
      </c>
    </row>
    <row r="161" spans="1:22">
      <c r="A161" s="179"/>
      <c r="B161" s="189"/>
      <c r="C161" s="178"/>
      <c r="D161" s="175" t="s">
        <v>444</v>
      </c>
      <c r="E161" s="165" t="s">
        <v>638</v>
      </c>
      <c r="F161" s="125">
        <v>4</v>
      </c>
      <c r="G161" s="122" t="s">
        <v>542</v>
      </c>
      <c r="I161" s="166" t="s">
        <v>638</v>
      </c>
      <c r="J161" s="127">
        <v>5</v>
      </c>
      <c r="K161" s="133" t="s">
        <v>3</v>
      </c>
      <c r="M161" s="166" t="s">
        <v>638</v>
      </c>
      <c r="N161" s="127">
        <v>6</v>
      </c>
      <c r="O161" s="133" t="s">
        <v>445</v>
      </c>
      <c r="Q161" s="123"/>
      <c r="R161" s="479"/>
      <c r="S161" s="108"/>
      <c r="T161" s="146" t="str">
        <f>IF(E161="■","090904","")</f>
        <v/>
      </c>
      <c r="U161" s="143" t="str">
        <f>IF(I161="■","090905","")</f>
        <v/>
      </c>
      <c r="V161" s="160" t="str">
        <f>IF(M161="■","090906","")</f>
        <v/>
      </c>
    </row>
    <row r="162" spans="1:22">
      <c r="A162" s="179"/>
      <c r="B162" s="180"/>
      <c r="C162" s="178"/>
      <c r="D162" s="181"/>
      <c r="E162" s="165" t="s">
        <v>638</v>
      </c>
      <c r="F162" s="125">
        <v>7</v>
      </c>
      <c r="G162" s="122" t="s">
        <v>543</v>
      </c>
      <c r="I162" s="166" t="s">
        <v>638</v>
      </c>
      <c r="J162" s="127">
        <v>8</v>
      </c>
      <c r="K162" s="133" t="s">
        <v>0</v>
      </c>
      <c r="M162" s="166" t="s">
        <v>638</v>
      </c>
      <c r="N162" s="127">
        <v>9</v>
      </c>
      <c r="O162" s="133" t="s">
        <v>54</v>
      </c>
      <c r="Q162" s="123"/>
      <c r="R162" s="479"/>
      <c r="S162" s="108"/>
      <c r="T162" s="146" t="str">
        <f>IF(E162="■","090907","")</f>
        <v/>
      </c>
      <c r="U162" s="143" t="str">
        <f>IF(I162="■","090908","")</f>
        <v/>
      </c>
      <c r="V162" s="160" t="str">
        <f>IF(M162="■","090909","")</f>
        <v/>
      </c>
    </row>
    <row r="163" spans="1:22">
      <c r="A163" s="179"/>
      <c r="B163" s="180"/>
      <c r="C163" s="184"/>
      <c r="D163" s="185"/>
      <c r="E163" s="170" t="s">
        <v>638</v>
      </c>
      <c r="F163" s="186">
        <v>99</v>
      </c>
      <c r="G163" s="230" t="s">
        <v>396</v>
      </c>
      <c r="H163" s="187"/>
      <c r="I163" s="188" t="s">
        <v>16</v>
      </c>
      <c r="J163" s="483"/>
      <c r="K163" s="483"/>
      <c r="L163" s="483"/>
      <c r="M163" s="483"/>
      <c r="N163" s="483"/>
      <c r="O163" s="483"/>
      <c r="P163" s="483"/>
      <c r="Q163" s="128" t="s">
        <v>17</v>
      </c>
      <c r="R163" s="129" t="str">
        <f>IF(E163="■","←必須","")</f>
        <v/>
      </c>
      <c r="S163" s="131"/>
      <c r="T163" s="146" t="str">
        <f>IF(E163="■","090999","")</f>
        <v/>
      </c>
      <c r="V163" s="160"/>
    </row>
    <row r="164" spans="1:22">
      <c r="A164" s="179"/>
      <c r="B164" s="189"/>
      <c r="C164" s="190">
        <v>10</v>
      </c>
      <c r="D164" s="191" t="s">
        <v>446</v>
      </c>
      <c r="E164" s="165" t="s">
        <v>638</v>
      </c>
      <c r="F164" s="192">
        <v>1</v>
      </c>
      <c r="G164" s="235" t="s">
        <v>55</v>
      </c>
      <c r="H164" s="194"/>
      <c r="I164" s="171" t="s">
        <v>638</v>
      </c>
      <c r="J164" s="195">
        <v>2</v>
      </c>
      <c r="K164" s="196" t="s">
        <v>447</v>
      </c>
      <c r="L164" s="197"/>
      <c r="M164" s="171" t="s">
        <v>638</v>
      </c>
      <c r="N164" s="195">
        <v>3</v>
      </c>
      <c r="O164" s="196" t="s">
        <v>448</v>
      </c>
      <c r="P164" s="197"/>
      <c r="Q164" s="130"/>
      <c r="R164" s="479"/>
      <c r="S164" s="131"/>
      <c r="T164" s="144" t="str">
        <f>IF(E164="■","091001","")</f>
        <v/>
      </c>
      <c r="U164" s="145" t="str">
        <f>IF(I164="■","091002","")</f>
        <v/>
      </c>
      <c r="V164" s="159" t="str">
        <f>IF(M164="■","091003","")</f>
        <v/>
      </c>
    </row>
    <row r="165" spans="1:22">
      <c r="A165" s="179"/>
      <c r="B165" s="189"/>
      <c r="C165" s="178"/>
      <c r="D165" s="175"/>
      <c r="E165" s="165" t="s">
        <v>638</v>
      </c>
      <c r="F165" s="125">
        <v>4</v>
      </c>
      <c r="G165" s="122" t="s">
        <v>449</v>
      </c>
      <c r="I165" s="166" t="s">
        <v>638</v>
      </c>
      <c r="J165" s="127">
        <v>5</v>
      </c>
      <c r="K165" s="133" t="s">
        <v>486</v>
      </c>
      <c r="M165" s="166" t="s">
        <v>638</v>
      </c>
      <c r="N165" s="127">
        <v>6</v>
      </c>
      <c r="O165" s="133" t="s">
        <v>1</v>
      </c>
      <c r="Q165" s="123"/>
      <c r="R165" s="479"/>
      <c r="S165" s="108"/>
      <c r="T165" s="146" t="str">
        <f>IF(E165="■","091004","")</f>
        <v/>
      </c>
      <c r="U165" s="143" t="str">
        <f>IF(I165="■","091005","")</f>
        <v/>
      </c>
      <c r="V165" s="160" t="str">
        <f>IF(M165="■","091006","")</f>
        <v/>
      </c>
    </row>
    <row r="166" spans="1:22">
      <c r="A166" s="179"/>
      <c r="B166" s="180"/>
      <c r="C166" s="178"/>
      <c r="D166" s="181"/>
      <c r="E166" s="165" t="s">
        <v>638</v>
      </c>
      <c r="F166" s="125">
        <v>7</v>
      </c>
      <c r="G166" s="122" t="s">
        <v>450</v>
      </c>
      <c r="I166" s="166" t="s">
        <v>638</v>
      </c>
      <c r="J166" s="127">
        <v>8</v>
      </c>
      <c r="K166" s="133" t="s">
        <v>34</v>
      </c>
      <c r="M166" s="166" t="s">
        <v>638</v>
      </c>
      <c r="N166" s="127">
        <v>9</v>
      </c>
      <c r="O166" s="133" t="s">
        <v>56</v>
      </c>
      <c r="Q166" s="123"/>
      <c r="R166" s="479"/>
      <c r="S166" s="108"/>
      <c r="T166" s="146" t="str">
        <f>IF(E166="■","091007","")</f>
        <v/>
      </c>
      <c r="U166" s="143" t="str">
        <f>IF(I166="■","091008","")</f>
        <v/>
      </c>
      <c r="V166" s="160" t="str">
        <f>IF(M166="■","091009","")</f>
        <v/>
      </c>
    </row>
    <row r="167" spans="1:22">
      <c r="A167" s="179"/>
      <c r="B167" s="180"/>
      <c r="C167" s="184"/>
      <c r="D167" s="185"/>
      <c r="E167" s="170" t="s">
        <v>638</v>
      </c>
      <c r="F167" s="186">
        <v>99</v>
      </c>
      <c r="G167" s="230" t="s">
        <v>396</v>
      </c>
      <c r="H167" s="187"/>
      <c r="I167" s="188" t="s">
        <v>16</v>
      </c>
      <c r="J167" s="483"/>
      <c r="K167" s="483"/>
      <c r="L167" s="483"/>
      <c r="M167" s="483"/>
      <c r="N167" s="483"/>
      <c r="O167" s="483"/>
      <c r="P167" s="483"/>
      <c r="Q167" s="128" t="s">
        <v>17</v>
      </c>
      <c r="R167" s="129" t="str">
        <f>IF(E167="■","←必須","")</f>
        <v/>
      </c>
      <c r="S167" s="131"/>
      <c r="T167" s="147" t="str">
        <f>IF(E167="■","091099","")</f>
        <v/>
      </c>
      <c r="U167" s="148"/>
      <c r="V167" s="161"/>
    </row>
    <row r="168" spans="1:22">
      <c r="A168" s="179"/>
      <c r="B168" s="189"/>
      <c r="C168" s="190">
        <v>11</v>
      </c>
      <c r="D168" s="191" t="s">
        <v>451</v>
      </c>
      <c r="E168" s="165" t="s">
        <v>638</v>
      </c>
      <c r="F168" s="192">
        <v>1</v>
      </c>
      <c r="G168" s="235" t="s">
        <v>452</v>
      </c>
      <c r="H168" s="194"/>
      <c r="I168" s="171" t="s">
        <v>638</v>
      </c>
      <c r="J168" s="195">
        <v>2</v>
      </c>
      <c r="K168" s="196" t="s">
        <v>453</v>
      </c>
      <c r="L168" s="197"/>
      <c r="M168" s="171" t="s">
        <v>638</v>
      </c>
      <c r="N168" s="195">
        <v>3</v>
      </c>
      <c r="O168" s="196" t="s">
        <v>454</v>
      </c>
      <c r="P168" s="197"/>
      <c r="Q168" s="130"/>
      <c r="R168" s="479"/>
      <c r="S168" s="131"/>
      <c r="T168" s="144" t="str">
        <f>IF(E168="■","091101","")</f>
        <v/>
      </c>
      <c r="U168" s="145" t="str">
        <f>IF(I168="■","091102","")</f>
        <v/>
      </c>
      <c r="V168" s="159" t="str">
        <f>IF(M168="■","091103","")</f>
        <v/>
      </c>
    </row>
    <row r="169" spans="1:22">
      <c r="A169" s="179"/>
      <c r="B169" s="189"/>
      <c r="C169" s="178"/>
      <c r="D169" s="175"/>
      <c r="E169" s="165" t="s">
        <v>638</v>
      </c>
      <c r="F169" s="125">
        <v>4</v>
      </c>
      <c r="G169" s="122" t="s">
        <v>455</v>
      </c>
      <c r="I169" s="166" t="s">
        <v>638</v>
      </c>
      <c r="J169" s="127">
        <v>5</v>
      </c>
      <c r="K169" s="133" t="s">
        <v>456</v>
      </c>
      <c r="M169" s="166" t="s">
        <v>638</v>
      </c>
      <c r="N169" s="127">
        <v>6</v>
      </c>
      <c r="O169" s="133" t="s">
        <v>457</v>
      </c>
      <c r="Q169" s="123"/>
      <c r="R169" s="479"/>
      <c r="S169" s="108"/>
      <c r="T169" s="146" t="str">
        <f>IF(E169="■","091104","")</f>
        <v/>
      </c>
      <c r="U169" s="143" t="str">
        <f>IF(I169="■","091105","")</f>
        <v/>
      </c>
      <c r="V169" s="160" t="str">
        <f>IF(M169="■","091106","")</f>
        <v/>
      </c>
    </row>
    <row r="170" spans="1:22">
      <c r="A170" s="179"/>
      <c r="B170" s="180"/>
      <c r="C170" s="178"/>
      <c r="D170" s="181"/>
      <c r="E170" s="165" t="s">
        <v>638</v>
      </c>
      <c r="F170" s="125">
        <v>7</v>
      </c>
      <c r="G170" s="122" t="s">
        <v>458</v>
      </c>
      <c r="I170" s="166" t="s">
        <v>638</v>
      </c>
      <c r="J170" s="127">
        <v>8</v>
      </c>
      <c r="K170" s="133" t="s">
        <v>459</v>
      </c>
      <c r="M170" s="166" t="s">
        <v>638</v>
      </c>
      <c r="N170" s="127">
        <v>9</v>
      </c>
      <c r="O170" s="133" t="s">
        <v>57</v>
      </c>
      <c r="Q170" s="123"/>
      <c r="R170" s="479"/>
      <c r="S170" s="108"/>
      <c r="T170" s="146" t="str">
        <f>IF(E170="■","091107","")</f>
        <v/>
      </c>
      <c r="U170" s="143" t="str">
        <f>IF(I170="■","091108","")</f>
        <v/>
      </c>
      <c r="V170" s="160" t="str">
        <f>IF(M170="■","091109","")</f>
        <v/>
      </c>
    </row>
    <row r="171" spans="1:22">
      <c r="A171" s="179"/>
      <c r="B171" s="180"/>
      <c r="C171" s="184"/>
      <c r="D171" s="185"/>
      <c r="E171" s="170" t="s">
        <v>638</v>
      </c>
      <c r="F171" s="186">
        <v>99</v>
      </c>
      <c r="G171" s="230" t="s">
        <v>396</v>
      </c>
      <c r="H171" s="187"/>
      <c r="I171" s="188" t="s">
        <v>16</v>
      </c>
      <c r="J171" s="483"/>
      <c r="K171" s="483"/>
      <c r="L171" s="483"/>
      <c r="M171" s="483"/>
      <c r="N171" s="483"/>
      <c r="O171" s="483"/>
      <c r="P171" s="483"/>
      <c r="Q171" s="128" t="s">
        <v>17</v>
      </c>
      <c r="R171" s="129" t="str">
        <f>IF(E171="■","←必須","")</f>
        <v/>
      </c>
      <c r="S171" s="131"/>
      <c r="T171" s="147" t="str">
        <f>IF(E171="■","091199","")</f>
        <v/>
      </c>
      <c r="U171" s="148"/>
      <c r="V171" s="161"/>
    </row>
    <row r="172" spans="1:22">
      <c r="A172" s="179"/>
      <c r="B172" s="189"/>
      <c r="C172" s="190">
        <v>12</v>
      </c>
      <c r="D172" s="191" t="s">
        <v>460</v>
      </c>
      <c r="E172" s="165" t="s">
        <v>638</v>
      </c>
      <c r="F172" s="192">
        <v>1</v>
      </c>
      <c r="G172" s="235" t="s">
        <v>461</v>
      </c>
      <c r="H172" s="194"/>
      <c r="I172" s="171" t="s">
        <v>638</v>
      </c>
      <c r="J172" s="195">
        <v>2</v>
      </c>
      <c r="K172" s="196" t="s">
        <v>462</v>
      </c>
      <c r="L172" s="197"/>
      <c r="M172" s="171" t="s">
        <v>638</v>
      </c>
      <c r="N172" s="195">
        <v>3</v>
      </c>
      <c r="O172" s="196" t="s">
        <v>463</v>
      </c>
      <c r="P172" s="197"/>
      <c r="Q172" s="130"/>
      <c r="R172" s="479"/>
      <c r="S172" s="131"/>
      <c r="T172" s="144" t="str">
        <f>IF(E172="■","091201","")</f>
        <v/>
      </c>
      <c r="U172" s="145" t="str">
        <f>IF(I172="■","091202","")</f>
        <v/>
      </c>
      <c r="V172" s="159" t="str">
        <f>IF(M172="■","091203","")</f>
        <v/>
      </c>
    </row>
    <row r="173" spans="1:22">
      <c r="A173" s="179"/>
      <c r="B173" s="189"/>
      <c r="C173" s="178"/>
      <c r="D173" s="175"/>
      <c r="E173" s="165" t="s">
        <v>638</v>
      </c>
      <c r="F173" s="125">
        <v>4</v>
      </c>
      <c r="G173" s="122" t="s">
        <v>544</v>
      </c>
      <c r="I173" s="166" t="s">
        <v>638</v>
      </c>
      <c r="J173" s="127">
        <v>5</v>
      </c>
      <c r="K173" s="133" t="s">
        <v>464</v>
      </c>
      <c r="M173" s="183" t="b">
        <v>0</v>
      </c>
      <c r="Q173" s="123"/>
      <c r="R173" s="479"/>
      <c r="S173" s="108"/>
      <c r="T173" s="146" t="str">
        <f>IF(E173="■","091204","")</f>
        <v/>
      </c>
      <c r="U173" s="143" t="str">
        <f>IF(I173="■","091205","")</f>
        <v/>
      </c>
      <c r="V173" s="160"/>
    </row>
    <row r="174" spans="1:22">
      <c r="A174" s="179"/>
      <c r="B174" s="180"/>
      <c r="C174" s="178"/>
      <c r="D174" s="181"/>
      <c r="E174" s="202" t="b">
        <v>0</v>
      </c>
      <c r="I174" s="199" t="b">
        <v>0</v>
      </c>
      <c r="M174" s="183" t="b">
        <v>0</v>
      </c>
      <c r="Q174" s="123"/>
      <c r="R174" s="479"/>
      <c r="S174" s="108"/>
      <c r="T174" s="146"/>
      <c r="V174" s="160"/>
    </row>
    <row r="175" spans="1:22">
      <c r="A175" s="179"/>
      <c r="B175" s="180"/>
      <c r="C175" s="184"/>
      <c r="D175" s="185"/>
      <c r="E175" s="170" t="s">
        <v>638</v>
      </c>
      <c r="F175" s="186">
        <v>99</v>
      </c>
      <c r="G175" s="230" t="s">
        <v>465</v>
      </c>
      <c r="H175" s="187"/>
      <c r="I175" s="188" t="s">
        <v>16</v>
      </c>
      <c r="J175" s="483"/>
      <c r="K175" s="483"/>
      <c r="L175" s="483"/>
      <c r="M175" s="483"/>
      <c r="N175" s="483"/>
      <c r="O175" s="483"/>
      <c r="P175" s="483"/>
      <c r="Q175" s="128" t="s">
        <v>17</v>
      </c>
      <c r="R175" s="129" t="str">
        <f>IF(E175="■","←必須","")</f>
        <v/>
      </c>
      <c r="S175" s="131"/>
      <c r="T175" s="147" t="str">
        <f>IF(E175="■","091299","")</f>
        <v/>
      </c>
      <c r="U175" s="148"/>
      <c r="V175" s="161"/>
    </row>
    <row r="176" spans="1:22">
      <c r="A176" s="179"/>
      <c r="B176" s="189"/>
      <c r="C176" s="190">
        <v>13</v>
      </c>
      <c r="D176" s="191" t="s">
        <v>466</v>
      </c>
      <c r="E176" s="168" t="s">
        <v>638</v>
      </c>
      <c r="F176" s="192">
        <v>1</v>
      </c>
      <c r="G176" s="235" t="s">
        <v>467</v>
      </c>
      <c r="H176" s="194"/>
      <c r="I176" s="171" t="s">
        <v>638</v>
      </c>
      <c r="J176" s="195">
        <v>2</v>
      </c>
      <c r="K176" s="196" t="s">
        <v>468</v>
      </c>
      <c r="L176" s="197"/>
      <c r="M176" s="171" t="s">
        <v>638</v>
      </c>
      <c r="N176" s="195">
        <v>3</v>
      </c>
      <c r="O176" s="196" t="s">
        <v>469</v>
      </c>
      <c r="P176" s="197"/>
      <c r="Q176" s="130"/>
      <c r="R176" s="479"/>
      <c r="S176" s="131"/>
      <c r="T176" s="144" t="str">
        <f>IF(E176="■","091301","")</f>
        <v/>
      </c>
      <c r="U176" s="145" t="str">
        <f>IF(I176="■","091302","")</f>
        <v/>
      </c>
      <c r="V176" s="159" t="str">
        <f>IF(M176="■","091303","")</f>
        <v/>
      </c>
    </row>
    <row r="177" spans="1:22">
      <c r="A177" s="179"/>
      <c r="B177" s="189"/>
      <c r="C177" s="178"/>
      <c r="D177" s="175"/>
      <c r="E177" s="202" t="b">
        <v>0</v>
      </c>
      <c r="I177" s="199"/>
      <c r="M177" s="183"/>
      <c r="Q177" s="123"/>
      <c r="R177" s="479"/>
      <c r="S177" s="108"/>
      <c r="T177" s="146"/>
      <c r="V177" s="160"/>
    </row>
    <row r="178" spans="1:22">
      <c r="A178" s="179"/>
      <c r="B178" s="180"/>
      <c r="C178" s="178"/>
      <c r="D178" s="181"/>
      <c r="E178" s="202" t="b">
        <v>0</v>
      </c>
      <c r="I178" s="199"/>
      <c r="M178" s="183"/>
      <c r="Q178" s="123"/>
      <c r="R178" s="479"/>
      <c r="S178" s="108"/>
      <c r="T178" s="146"/>
      <c r="V178" s="160"/>
    </row>
    <row r="179" spans="1:22">
      <c r="A179" s="179"/>
      <c r="B179" s="180"/>
      <c r="C179" s="184"/>
      <c r="D179" s="185"/>
      <c r="E179" s="170" t="s">
        <v>638</v>
      </c>
      <c r="F179" s="186">
        <v>99</v>
      </c>
      <c r="G179" s="230" t="s">
        <v>470</v>
      </c>
      <c r="H179" s="187"/>
      <c r="I179" s="188" t="s">
        <v>16</v>
      </c>
      <c r="J179" s="483"/>
      <c r="K179" s="483"/>
      <c r="L179" s="483"/>
      <c r="M179" s="483"/>
      <c r="N179" s="483"/>
      <c r="O179" s="483"/>
      <c r="P179" s="483"/>
      <c r="Q179" s="128" t="s">
        <v>17</v>
      </c>
      <c r="R179" s="129" t="str">
        <f>IF(E179="■","←必須","")</f>
        <v/>
      </c>
      <c r="S179" s="131"/>
      <c r="T179" s="147" t="str">
        <f>IF(E179="■","091399","")</f>
        <v/>
      </c>
      <c r="U179" s="148"/>
      <c r="V179" s="161"/>
    </row>
    <row r="180" spans="1:22">
      <c r="A180" s="179"/>
      <c r="B180" s="189"/>
      <c r="C180" s="190">
        <v>14</v>
      </c>
      <c r="D180" s="191" t="s">
        <v>396</v>
      </c>
      <c r="E180" s="168" t="s">
        <v>638</v>
      </c>
      <c r="F180" s="192">
        <v>1</v>
      </c>
      <c r="G180" s="235" t="s">
        <v>546</v>
      </c>
      <c r="H180" s="194"/>
      <c r="I180" s="171" t="s">
        <v>638</v>
      </c>
      <c r="J180" s="195">
        <v>2</v>
      </c>
      <c r="K180" s="210" t="s">
        <v>551</v>
      </c>
      <c r="L180" s="197"/>
      <c r="M180" s="237" t="b">
        <v>0</v>
      </c>
      <c r="N180" s="195"/>
      <c r="O180" s="196"/>
      <c r="P180" s="197"/>
      <c r="Q180" s="130"/>
      <c r="R180" s="479"/>
      <c r="S180" s="131"/>
      <c r="T180" s="144" t="str">
        <f>IF(E180="■","091401","")</f>
        <v/>
      </c>
      <c r="U180" s="145" t="str">
        <f>IF(I180="■","091402","")</f>
        <v/>
      </c>
      <c r="V180" s="159"/>
    </row>
    <row r="181" spans="1:22">
      <c r="A181" s="179"/>
      <c r="B181" s="189"/>
      <c r="C181" s="178"/>
      <c r="D181" s="175"/>
      <c r="E181" s="202" t="b">
        <v>0</v>
      </c>
      <c r="I181" s="199" t="b">
        <v>0</v>
      </c>
      <c r="M181" s="183" t="b">
        <v>0</v>
      </c>
      <c r="Q181" s="123"/>
      <c r="R181" s="479"/>
      <c r="T181" s="146"/>
      <c r="V181" s="160"/>
    </row>
    <row r="182" spans="1:22">
      <c r="A182" s="179"/>
      <c r="B182" s="180"/>
      <c r="C182" s="178"/>
      <c r="D182" s="181"/>
      <c r="E182" s="202" t="b">
        <v>0</v>
      </c>
      <c r="I182" s="199" t="b">
        <v>0</v>
      </c>
      <c r="M182" s="183" t="b">
        <v>0</v>
      </c>
      <c r="Q182" s="123"/>
      <c r="R182" s="479"/>
      <c r="T182" s="146"/>
      <c r="V182" s="160"/>
    </row>
    <row r="183" spans="1:22" ht="14.25" thickBot="1">
      <c r="A183" s="203"/>
      <c r="B183" s="204"/>
      <c r="C183" s="205"/>
      <c r="D183" s="206"/>
      <c r="E183" s="172" t="s">
        <v>638</v>
      </c>
      <c r="F183" s="207">
        <v>99</v>
      </c>
      <c r="G183" s="211" t="s">
        <v>19</v>
      </c>
      <c r="H183" s="208"/>
      <c r="I183" s="209" t="s">
        <v>16</v>
      </c>
      <c r="J183" s="488"/>
      <c r="K183" s="488"/>
      <c r="L183" s="488"/>
      <c r="M183" s="488"/>
      <c r="N183" s="488"/>
      <c r="O183" s="488"/>
      <c r="P183" s="488"/>
      <c r="Q183" s="132" t="s">
        <v>17</v>
      </c>
      <c r="R183" s="129" t="str">
        <f>IF(E183="■","←必須","")</f>
        <v/>
      </c>
      <c r="S183" s="131"/>
      <c r="T183" s="147" t="str">
        <f>IF(E183="■","091499","")</f>
        <v/>
      </c>
      <c r="U183" s="148"/>
      <c r="V183" s="161"/>
    </row>
    <row r="184" spans="1:22">
      <c r="R184" s="131"/>
      <c r="S184" s="131"/>
    </row>
  </sheetData>
  <sheetProtection selectLockedCells="1"/>
  <mergeCells count="96">
    <mergeCell ref="J183:P183"/>
    <mergeCell ref="R160:R162"/>
    <mergeCell ref="J163:P163"/>
    <mergeCell ref="R164:R166"/>
    <mergeCell ref="J167:P167"/>
    <mergeCell ref="R168:R170"/>
    <mergeCell ref="J171:P171"/>
    <mergeCell ref="R172:R174"/>
    <mergeCell ref="J175:P175"/>
    <mergeCell ref="R176:R178"/>
    <mergeCell ref="J179:P179"/>
    <mergeCell ref="R180:R182"/>
    <mergeCell ref="J159:P159"/>
    <mergeCell ref="R136:R138"/>
    <mergeCell ref="J139:P139"/>
    <mergeCell ref="R140:R142"/>
    <mergeCell ref="J143:P143"/>
    <mergeCell ref="R144:R146"/>
    <mergeCell ref="J147:P147"/>
    <mergeCell ref="R148:R150"/>
    <mergeCell ref="J151:P151"/>
    <mergeCell ref="R152:R154"/>
    <mergeCell ref="J155:P155"/>
    <mergeCell ref="R156:R158"/>
    <mergeCell ref="B108:B109"/>
    <mergeCell ref="R108:R110"/>
    <mergeCell ref="J135:P135"/>
    <mergeCell ref="R112:R114"/>
    <mergeCell ref="J115:P115"/>
    <mergeCell ref="R116:R118"/>
    <mergeCell ref="J119:P119"/>
    <mergeCell ref="R120:R122"/>
    <mergeCell ref="J123:P123"/>
    <mergeCell ref="R124:R126"/>
    <mergeCell ref="J127:P127"/>
    <mergeCell ref="R128:R130"/>
    <mergeCell ref="J131:P131"/>
    <mergeCell ref="R132:R134"/>
    <mergeCell ref="J111:P111"/>
    <mergeCell ref="R104:R106"/>
    <mergeCell ref="J79:P79"/>
    <mergeCell ref="J107:P107"/>
    <mergeCell ref="B80:B81"/>
    <mergeCell ref="R80:R82"/>
    <mergeCell ref="J83:P83"/>
    <mergeCell ref="R84:R86"/>
    <mergeCell ref="J87:P87"/>
    <mergeCell ref="R88:R90"/>
    <mergeCell ref="J91:P91"/>
    <mergeCell ref="R92:R94"/>
    <mergeCell ref="J95:P95"/>
    <mergeCell ref="R96:R98"/>
    <mergeCell ref="J99:P99"/>
    <mergeCell ref="R64:R66"/>
    <mergeCell ref="J75:P75"/>
    <mergeCell ref="R76:R78"/>
    <mergeCell ref="R100:R102"/>
    <mergeCell ref="J103:P103"/>
    <mergeCell ref="R68:R70"/>
    <mergeCell ref="J71:P71"/>
    <mergeCell ref="R72:R74"/>
    <mergeCell ref="J67:P67"/>
    <mergeCell ref="J55:P55"/>
    <mergeCell ref="R56:R58"/>
    <mergeCell ref="J59:P59"/>
    <mergeCell ref="R60:R62"/>
    <mergeCell ref="J63:P63"/>
    <mergeCell ref="R44:R46"/>
    <mergeCell ref="J47:P47"/>
    <mergeCell ref="R48:R50"/>
    <mergeCell ref="J51:P51"/>
    <mergeCell ref="R52:R54"/>
    <mergeCell ref="J43:P43"/>
    <mergeCell ref="J23:P23"/>
    <mergeCell ref="R24:R26"/>
    <mergeCell ref="J27:P27"/>
    <mergeCell ref="R28:R30"/>
    <mergeCell ref="J31:P31"/>
    <mergeCell ref="R32:R34"/>
    <mergeCell ref="J35:P35"/>
    <mergeCell ref="R36:R38"/>
    <mergeCell ref="J39:P39"/>
    <mergeCell ref="R40:R42"/>
    <mergeCell ref="O41:P41"/>
    <mergeCell ref="R20:R22"/>
    <mergeCell ref="B3:B4"/>
    <mergeCell ref="R3:R5"/>
    <mergeCell ref="S6:S7"/>
    <mergeCell ref="R7:R10"/>
    <mergeCell ref="J11:P11"/>
    <mergeCell ref="R12:R14"/>
    <mergeCell ref="J15:P15"/>
    <mergeCell ref="B16:B17"/>
    <mergeCell ref="R16:R18"/>
    <mergeCell ref="J19:P19"/>
    <mergeCell ref="J6:P6"/>
  </mergeCells>
  <phoneticPr fontId="2"/>
  <conditionalFormatting sqref="F3:F180">
    <cfRule type="expression" dxfId="163" priority="6" stopIfTrue="1">
      <formula>E3="■"</formula>
    </cfRule>
  </conditionalFormatting>
  <conditionalFormatting sqref="F183">
    <cfRule type="expression" dxfId="162" priority="2" stopIfTrue="1">
      <formula>E183="■"</formula>
    </cfRule>
  </conditionalFormatting>
  <conditionalFormatting sqref="I5">
    <cfRule type="expression" dxfId="161" priority="115" stopIfTrue="1">
      <formula>#REF!=TRUE</formula>
    </cfRule>
  </conditionalFormatting>
  <conditionalFormatting sqref="J3:J4 N3:N5 J7:J10 N7:N10 J12:J14 N12:N14 J16:J18 N16:N18 J20:J22 N20:N22 J24:J26 N24:N26 J28:J30 N28:N30 J32:J34 N32:N34 J36:J38 N36:N38 J68:J70 N68:N70 J128:J130 N128:N130 N140:N142">
    <cfRule type="expression" dxfId="160" priority="113" stopIfTrue="1">
      <formula>I3="■"</formula>
    </cfRule>
  </conditionalFormatting>
  <conditionalFormatting sqref="J40:J42">
    <cfRule type="expression" dxfId="159" priority="69" stopIfTrue="1">
      <formula>I40="■"</formula>
    </cfRule>
  </conditionalFormatting>
  <conditionalFormatting sqref="J44:J46">
    <cfRule type="expression" dxfId="158" priority="68" stopIfTrue="1">
      <formula>I44="■"</formula>
    </cfRule>
  </conditionalFormatting>
  <conditionalFormatting sqref="J48:J50">
    <cfRule type="expression" dxfId="157" priority="67" stopIfTrue="1">
      <formula>I48="■"</formula>
    </cfRule>
  </conditionalFormatting>
  <conditionalFormatting sqref="J52:J54">
    <cfRule type="expression" dxfId="156" priority="64" stopIfTrue="1">
      <formula>I52="■"</formula>
    </cfRule>
  </conditionalFormatting>
  <conditionalFormatting sqref="J56:J58">
    <cfRule type="expression" dxfId="155" priority="63" stopIfTrue="1">
      <formula>I56="■"</formula>
    </cfRule>
  </conditionalFormatting>
  <conditionalFormatting sqref="J60:J62">
    <cfRule type="expression" dxfId="154" priority="66" stopIfTrue="1">
      <formula>I60="■"</formula>
    </cfRule>
  </conditionalFormatting>
  <conditionalFormatting sqref="J64:J66">
    <cfRule type="expression" dxfId="153" priority="65" stopIfTrue="1">
      <formula>I64="■"</formula>
    </cfRule>
  </conditionalFormatting>
  <conditionalFormatting sqref="J72:J74">
    <cfRule type="expression" dxfId="152" priority="55" stopIfTrue="1">
      <formula>I72="■"</formula>
    </cfRule>
  </conditionalFormatting>
  <conditionalFormatting sqref="J76:J78">
    <cfRule type="expression" dxfId="151" priority="53" stopIfTrue="1">
      <formula>I76="■"</formula>
    </cfRule>
  </conditionalFormatting>
  <conditionalFormatting sqref="J80:J82">
    <cfRule type="expression" dxfId="150" priority="52" stopIfTrue="1">
      <formula>I80="■"</formula>
    </cfRule>
  </conditionalFormatting>
  <conditionalFormatting sqref="J84:J86">
    <cfRule type="expression" dxfId="149" priority="33" stopIfTrue="1">
      <formula>I84="■"</formula>
    </cfRule>
  </conditionalFormatting>
  <conditionalFormatting sqref="J88:J90">
    <cfRule type="expression" dxfId="148" priority="31" stopIfTrue="1">
      <formula>I88="■"</formula>
    </cfRule>
  </conditionalFormatting>
  <conditionalFormatting sqref="J92:J94">
    <cfRule type="expression" dxfId="147" priority="51" stopIfTrue="1">
      <formula>I92="■"</formula>
    </cfRule>
  </conditionalFormatting>
  <conditionalFormatting sqref="J96:J98">
    <cfRule type="expression" dxfId="146" priority="29" stopIfTrue="1">
      <formula>I96="■"</formula>
    </cfRule>
  </conditionalFormatting>
  <conditionalFormatting sqref="J100:J102">
    <cfRule type="expression" dxfId="145" priority="50" stopIfTrue="1">
      <formula>I100="■"</formula>
    </cfRule>
  </conditionalFormatting>
  <conditionalFormatting sqref="J104:J106">
    <cfRule type="expression" dxfId="144" priority="49" stopIfTrue="1">
      <formula>I104="■"</formula>
    </cfRule>
  </conditionalFormatting>
  <conditionalFormatting sqref="J108:J110">
    <cfRule type="expression" dxfId="143" priority="26" stopIfTrue="1">
      <formula>I108="■"</formula>
    </cfRule>
  </conditionalFormatting>
  <conditionalFormatting sqref="J112:J114">
    <cfRule type="expression" dxfId="142" priority="48" stopIfTrue="1">
      <formula>I112="■"</formula>
    </cfRule>
  </conditionalFormatting>
  <conditionalFormatting sqref="J116:J118">
    <cfRule type="expression" dxfId="141" priority="23" stopIfTrue="1">
      <formula>I116="■"</formula>
    </cfRule>
  </conditionalFormatting>
  <conditionalFormatting sqref="J120:J122">
    <cfRule type="expression" dxfId="140" priority="47" stopIfTrue="1">
      <formula>I120="■"</formula>
    </cfRule>
  </conditionalFormatting>
  <conditionalFormatting sqref="J124:J126">
    <cfRule type="expression" dxfId="139" priority="20" stopIfTrue="1">
      <formula>I124="■"</formula>
    </cfRule>
  </conditionalFormatting>
  <conditionalFormatting sqref="J132:J134">
    <cfRule type="expression" dxfId="138" priority="19" stopIfTrue="1">
      <formula>I132="■"</formula>
    </cfRule>
  </conditionalFormatting>
  <conditionalFormatting sqref="J136:J138">
    <cfRule type="expression" dxfId="137" priority="17" stopIfTrue="1">
      <formula>I136="■"</formula>
    </cfRule>
  </conditionalFormatting>
  <conditionalFormatting sqref="J140:J142">
    <cfRule type="expression" dxfId="136" priority="15" stopIfTrue="1">
      <formula>I140="■"</formula>
    </cfRule>
  </conditionalFormatting>
  <conditionalFormatting sqref="J144:J146">
    <cfRule type="expression" dxfId="135" priority="14" stopIfTrue="1">
      <formula>I144="■"</formula>
    </cfRule>
  </conditionalFormatting>
  <conditionalFormatting sqref="J148:J150">
    <cfRule type="expression" dxfId="134" priority="12" stopIfTrue="1">
      <formula>I148="■"</formula>
    </cfRule>
  </conditionalFormatting>
  <conditionalFormatting sqref="J152:J154">
    <cfRule type="expression" dxfId="133" priority="10" stopIfTrue="1">
      <formula>I152="■"</formula>
    </cfRule>
  </conditionalFormatting>
  <conditionalFormatting sqref="J156:J158">
    <cfRule type="expression" dxfId="132" priority="46" stopIfTrue="1">
      <formula>I156="■"</formula>
    </cfRule>
  </conditionalFormatting>
  <conditionalFormatting sqref="J160:J162">
    <cfRule type="expression" dxfId="131" priority="45" stopIfTrue="1">
      <formula>I160="■"</formula>
    </cfRule>
  </conditionalFormatting>
  <conditionalFormatting sqref="J164:J166">
    <cfRule type="expression" dxfId="130" priority="44" stopIfTrue="1">
      <formula>I164="■"</formula>
    </cfRule>
  </conditionalFormatting>
  <conditionalFormatting sqref="J168:J170">
    <cfRule type="expression" dxfId="129" priority="43" stopIfTrue="1">
      <formula>I168="■"</formula>
    </cfRule>
  </conditionalFormatting>
  <conditionalFormatting sqref="J172:J174">
    <cfRule type="expression" dxfId="128" priority="8" stopIfTrue="1">
      <formula>I172="■"</formula>
    </cfRule>
  </conditionalFormatting>
  <conditionalFormatting sqref="J176:J178">
    <cfRule type="expression" dxfId="127" priority="5" stopIfTrue="1">
      <formula>I176="■"</formula>
    </cfRule>
  </conditionalFormatting>
  <conditionalFormatting sqref="J180">
    <cfRule type="expression" dxfId="126" priority="4" stopIfTrue="1">
      <formula>I180="■"</formula>
    </cfRule>
  </conditionalFormatting>
  <conditionalFormatting sqref="J6:P6">
    <cfRule type="cellIs" dxfId="125" priority="1" stopIfTrue="1" operator="notEqual">
      <formula>""</formula>
    </cfRule>
  </conditionalFormatting>
  <conditionalFormatting sqref="J11:P11">
    <cfRule type="cellIs" dxfId="124" priority="86" stopIfTrue="1" operator="notEqual">
      <formula>""</formula>
    </cfRule>
  </conditionalFormatting>
  <conditionalFormatting sqref="J15:P15">
    <cfRule type="cellIs" dxfId="123" priority="85" stopIfTrue="1" operator="notEqual">
      <formula>""</formula>
    </cfRule>
  </conditionalFormatting>
  <conditionalFormatting sqref="J19:P19">
    <cfRule type="cellIs" dxfId="122" priority="84" stopIfTrue="1" operator="notEqual">
      <formula>""</formula>
    </cfRule>
  </conditionalFormatting>
  <conditionalFormatting sqref="J23:P23 J87:P87">
    <cfRule type="cellIs" dxfId="121" priority="114" stopIfTrue="1" operator="notEqual">
      <formula>""</formula>
    </cfRule>
  </conditionalFormatting>
  <conditionalFormatting sqref="J27:P27">
    <cfRule type="cellIs" dxfId="120" priority="83" stopIfTrue="1" operator="notEqual">
      <formula>""</formula>
    </cfRule>
  </conditionalFormatting>
  <conditionalFormatting sqref="J31:P31">
    <cfRule type="cellIs" dxfId="119" priority="82" stopIfTrue="1" operator="notEqual">
      <formula>""</formula>
    </cfRule>
  </conditionalFormatting>
  <conditionalFormatting sqref="J35:P35">
    <cfRule type="cellIs" dxfId="118" priority="80" stopIfTrue="1" operator="notEqual">
      <formula>""</formula>
    </cfRule>
  </conditionalFormatting>
  <conditionalFormatting sqref="J39:P39">
    <cfRule type="cellIs" dxfId="117" priority="81" stopIfTrue="1" operator="notEqual">
      <formula>""</formula>
    </cfRule>
  </conditionalFormatting>
  <conditionalFormatting sqref="J43:P43">
    <cfRule type="cellIs" dxfId="116" priority="79" stopIfTrue="1" operator="notEqual">
      <formula>""</formula>
    </cfRule>
  </conditionalFormatting>
  <conditionalFormatting sqref="J47:P47">
    <cfRule type="cellIs" dxfId="115" priority="78" stopIfTrue="1" operator="notEqual">
      <formula>""</formula>
    </cfRule>
  </conditionalFormatting>
  <conditionalFormatting sqref="J51:P51">
    <cfRule type="cellIs" dxfId="114" priority="77" stopIfTrue="1" operator="notEqual">
      <formula>""</formula>
    </cfRule>
  </conditionalFormatting>
  <conditionalFormatting sqref="J55:P55">
    <cfRule type="cellIs" dxfId="113" priority="76" stopIfTrue="1" operator="notEqual">
      <formula>""</formula>
    </cfRule>
  </conditionalFormatting>
  <conditionalFormatting sqref="J59:P59">
    <cfRule type="cellIs" dxfId="112" priority="75" stopIfTrue="1" operator="notEqual">
      <formula>""</formula>
    </cfRule>
  </conditionalFormatting>
  <conditionalFormatting sqref="J63:P63">
    <cfRule type="cellIs" dxfId="111" priority="74" stopIfTrue="1" operator="notEqual">
      <formula>""</formula>
    </cfRule>
  </conditionalFormatting>
  <conditionalFormatting sqref="J67:P67">
    <cfRule type="cellIs" dxfId="110" priority="73" stopIfTrue="1" operator="notEqual">
      <formula>""</formula>
    </cfRule>
  </conditionalFormatting>
  <conditionalFormatting sqref="J71:P71">
    <cfRule type="cellIs" dxfId="109" priority="72" stopIfTrue="1" operator="notEqual">
      <formula>""</formula>
    </cfRule>
  </conditionalFormatting>
  <conditionalFormatting sqref="J75:P75">
    <cfRule type="cellIs" dxfId="108" priority="71" stopIfTrue="1" operator="notEqual">
      <formula>""</formula>
    </cfRule>
  </conditionalFormatting>
  <conditionalFormatting sqref="J79:P79">
    <cfRule type="cellIs" dxfId="107" priority="70" stopIfTrue="1" operator="notEqual">
      <formula>""</formula>
    </cfRule>
  </conditionalFormatting>
  <conditionalFormatting sqref="J83:P83">
    <cfRule type="cellIs" dxfId="106" priority="111" stopIfTrue="1" operator="notEqual">
      <formula>""</formula>
    </cfRule>
  </conditionalFormatting>
  <conditionalFormatting sqref="J91:P91">
    <cfRule type="cellIs" dxfId="105" priority="110" stopIfTrue="1" operator="notEqual">
      <formula>""</formula>
    </cfRule>
  </conditionalFormatting>
  <conditionalFormatting sqref="J95:P95">
    <cfRule type="cellIs" dxfId="104" priority="109" stopIfTrue="1" operator="notEqual">
      <formula>""</formula>
    </cfRule>
  </conditionalFormatting>
  <conditionalFormatting sqref="J99:P99">
    <cfRule type="cellIs" dxfId="103" priority="108" stopIfTrue="1" operator="notEqual">
      <formula>""</formula>
    </cfRule>
  </conditionalFormatting>
  <conditionalFormatting sqref="J103:P103">
    <cfRule type="cellIs" dxfId="102" priority="107" stopIfTrue="1" operator="notEqual">
      <formula>""</formula>
    </cfRule>
  </conditionalFormatting>
  <conditionalFormatting sqref="J107:P107">
    <cfRule type="cellIs" dxfId="101" priority="106" stopIfTrue="1" operator="notEqual">
      <formula>""</formula>
    </cfRule>
  </conditionalFormatting>
  <conditionalFormatting sqref="J111:P111">
    <cfRule type="cellIs" dxfId="100" priority="105" stopIfTrue="1" operator="notEqual">
      <formula>""</formula>
    </cfRule>
  </conditionalFormatting>
  <conditionalFormatting sqref="J115:P115">
    <cfRule type="cellIs" dxfId="99" priority="104" stopIfTrue="1" operator="notEqual">
      <formula>""</formula>
    </cfRule>
  </conditionalFormatting>
  <conditionalFormatting sqref="J119:P119">
    <cfRule type="cellIs" dxfId="98" priority="103" stopIfTrue="1" operator="notEqual">
      <formula>""</formula>
    </cfRule>
  </conditionalFormatting>
  <conditionalFormatting sqref="J123:P123">
    <cfRule type="cellIs" dxfId="97" priority="102" stopIfTrue="1" operator="notEqual">
      <formula>""</formula>
    </cfRule>
  </conditionalFormatting>
  <conditionalFormatting sqref="J127:P127">
    <cfRule type="cellIs" dxfId="96" priority="101" stopIfTrue="1" operator="notEqual">
      <formula>""</formula>
    </cfRule>
  </conditionalFormatting>
  <conditionalFormatting sqref="J131:P131">
    <cfRule type="cellIs" dxfId="95" priority="100" stopIfTrue="1" operator="notEqual">
      <formula>""</formula>
    </cfRule>
  </conditionalFormatting>
  <conditionalFormatting sqref="J135:P135">
    <cfRule type="cellIs" dxfId="94" priority="99" stopIfTrue="1" operator="notEqual">
      <formula>""</formula>
    </cfRule>
  </conditionalFormatting>
  <conditionalFormatting sqref="J139:P139">
    <cfRule type="cellIs" dxfId="93" priority="98" stopIfTrue="1" operator="notEqual">
      <formula>""</formula>
    </cfRule>
  </conditionalFormatting>
  <conditionalFormatting sqref="J143:P143">
    <cfRule type="cellIs" dxfId="92" priority="97" stopIfTrue="1" operator="notEqual">
      <formula>""</formula>
    </cfRule>
  </conditionalFormatting>
  <conditionalFormatting sqref="J147:P147">
    <cfRule type="cellIs" dxfId="91" priority="96" stopIfTrue="1" operator="notEqual">
      <formula>""</formula>
    </cfRule>
  </conditionalFormatting>
  <conditionalFormatting sqref="J151:P151">
    <cfRule type="cellIs" dxfId="90" priority="95" stopIfTrue="1" operator="notEqual">
      <formula>""</formula>
    </cfRule>
  </conditionalFormatting>
  <conditionalFormatting sqref="J155:P155">
    <cfRule type="cellIs" dxfId="89" priority="94" stopIfTrue="1" operator="notEqual">
      <formula>""</formula>
    </cfRule>
  </conditionalFormatting>
  <conditionalFormatting sqref="J159:P159">
    <cfRule type="cellIs" dxfId="88" priority="93" stopIfTrue="1" operator="notEqual">
      <formula>""</formula>
    </cfRule>
  </conditionalFormatting>
  <conditionalFormatting sqref="J163:P163">
    <cfRule type="cellIs" dxfId="87" priority="92" stopIfTrue="1" operator="notEqual">
      <formula>""</formula>
    </cfRule>
  </conditionalFormatting>
  <conditionalFormatting sqref="J167:P167">
    <cfRule type="cellIs" dxfId="86" priority="91" stopIfTrue="1" operator="notEqual">
      <formula>""</formula>
    </cfRule>
  </conditionalFormatting>
  <conditionalFormatting sqref="J171:P171">
    <cfRule type="cellIs" dxfId="85" priority="90" stopIfTrue="1" operator="notEqual">
      <formula>""</formula>
    </cfRule>
  </conditionalFormatting>
  <conditionalFormatting sqref="J175:P175">
    <cfRule type="cellIs" dxfId="84" priority="89" stopIfTrue="1" operator="notEqual">
      <formula>""</formula>
    </cfRule>
  </conditionalFormatting>
  <conditionalFormatting sqref="J179:P179">
    <cfRule type="cellIs" dxfId="83" priority="88" stopIfTrue="1" operator="notEqual">
      <formula>""</formula>
    </cfRule>
  </conditionalFormatting>
  <conditionalFormatting sqref="J183:P183">
    <cfRule type="cellIs" dxfId="82" priority="87" stopIfTrue="1" operator="notEqual">
      <formula>""</formula>
    </cfRule>
  </conditionalFormatting>
  <conditionalFormatting sqref="N40:N42">
    <cfRule type="expression" dxfId="81" priority="57" stopIfTrue="1">
      <formula>M40="■"</formula>
    </cfRule>
  </conditionalFormatting>
  <conditionalFormatting sqref="N44:N46">
    <cfRule type="expression" dxfId="80" priority="62" stopIfTrue="1">
      <formula>M44="■"</formula>
    </cfRule>
  </conditionalFormatting>
  <conditionalFormatting sqref="N48:N50">
    <cfRule type="expression" dxfId="79" priority="61" stopIfTrue="1">
      <formula>M48="■"</formula>
    </cfRule>
  </conditionalFormatting>
  <conditionalFormatting sqref="N52:N54">
    <cfRule type="expression" dxfId="78" priority="56" stopIfTrue="1">
      <formula>M52="■"</formula>
    </cfRule>
  </conditionalFormatting>
  <conditionalFormatting sqref="N56:N58">
    <cfRule type="expression" dxfId="77" priority="58" stopIfTrue="1">
      <formula>M56="■"</formula>
    </cfRule>
  </conditionalFormatting>
  <conditionalFormatting sqref="N60:N62">
    <cfRule type="expression" dxfId="76" priority="60" stopIfTrue="1">
      <formula>M60="■"</formula>
    </cfRule>
  </conditionalFormatting>
  <conditionalFormatting sqref="N64:N66">
    <cfRule type="expression" dxfId="75" priority="59" stopIfTrue="1">
      <formula>M64="■"</formula>
    </cfRule>
  </conditionalFormatting>
  <conditionalFormatting sqref="N72:N74">
    <cfRule type="expression" dxfId="74" priority="54" stopIfTrue="1">
      <formula>M72="■"</formula>
    </cfRule>
  </conditionalFormatting>
  <conditionalFormatting sqref="N76:N78">
    <cfRule type="expression" dxfId="73" priority="42" stopIfTrue="1">
      <formula>M76="■"</formula>
    </cfRule>
  </conditionalFormatting>
  <conditionalFormatting sqref="N80:N82">
    <cfRule type="expression" dxfId="72" priority="41" stopIfTrue="1">
      <formula>M80="■"</formula>
    </cfRule>
  </conditionalFormatting>
  <conditionalFormatting sqref="N84:N86">
    <cfRule type="expression" dxfId="71" priority="32" stopIfTrue="1">
      <formula>M84="■"</formula>
    </cfRule>
  </conditionalFormatting>
  <conditionalFormatting sqref="N88:N90">
    <cfRule type="expression" dxfId="70" priority="30" stopIfTrue="1">
      <formula>M88="■"</formula>
    </cfRule>
  </conditionalFormatting>
  <conditionalFormatting sqref="N92:N94">
    <cfRule type="expression" dxfId="69" priority="40" stopIfTrue="1">
      <formula>M92="■"</formula>
    </cfRule>
  </conditionalFormatting>
  <conditionalFormatting sqref="N96:N98">
    <cfRule type="expression" dxfId="68" priority="28" stopIfTrue="1">
      <formula>M96="■"</formula>
    </cfRule>
  </conditionalFormatting>
  <conditionalFormatting sqref="N100:N102">
    <cfRule type="expression" dxfId="67" priority="27" stopIfTrue="1">
      <formula>M100="■"</formula>
    </cfRule>
  </conditionalFormatting>
  <conditionalFormatting sqref="N104:N106">
    <cfRule type="expression" dxfId="66" priority="39" stopIfTrue="1">
      <formula>M104="■"</formula>
    </cfRule>
  </conditionalFormatting>
  <conditionalFormatting sqref="N108:N110">
    <cfRule type="expression" dxfId="65" priority="25" stopIfTrue="1">
      <formula>M108="■"</formula>
    </cfRule>
  </conditionalFormatting>
  <conditionalFormatting sqref="N112:N114">
    <cfRule type="expression" dxfId="64" priority="24" stopIfTrue="1">
      <formula>M112="■"</formula>
    </cfRule>
  </conditionalFormatting>
  <conditionalFormatting sqref="N116:N118">
    <cfRule type="expression" dxfId="63" priority="22" stopIfTrue="1">
      <formula>M116="■"</formula>
    </cfRule>
  </conditionalFormatting>
  <conditionalFormatting sqref="N120:N122">
    <cfRule type="expression" dxfId="62" priority="38" stopIfTrue="1">
      <formula>M120="■"</formula>
    </cfRule>
  </conditionalFormatting>
  <conditionalFormatting sqref="N124:N126">
    <cfRule type="expression" dxfId="61" priority="21" stopIfTrue="1">
      <formula>M124="■"</formula>
    </cfRule>
  </conditionalFormatting>
  <conditionalFormatting sqref="N132:N134">
    <cfRule type="expression" dxfId="60" priority="18" stopIfTrue="1">
      <formula>M132="■"</formula>
    </cfRule>
  </conditionalFormatting>
  <conditionalFormatting sqref="N136:N138">
    <cfRule type="expression" dxfId="59" priority="16" stopIfTrue="1">
      <formula>M136="■"</formula>
    </cfRule>
  </conditionalFormatting>
  <conditionalFormatting sqref="N144:N146">
    <cfRule type="expression" dxfId="58" priority="13" stopIfTrue="1">
      <formula>M144="■"</formula>
    </cfRule>
  </conditionalFormatting>
  <conditionalFormatting sqref="N148:N150">
    <cfRule type="expression" dxfId="57" priority="11" stopIfTrue="1">
      <formula>M148="■"</formula>
    </cfRule>
  </conditionalFormatting>
  <conditionalFormatting sqref="N152:N154">
    <cfRule type="expression" dxfId="56" priority="9" stopIfTrue="1">
      <formula>M152="■"</formula>
    </cfRule>
  </conditionalFormatting>
  <conditionalFormatting sqref="N156:N158">
    <cfRule type="expression" dxfId="55" priority="37" stopIfTrue="1">
      <formula>M156="■"</formula>
    </cfRule>
  </conditionalFormatting>
  <conditionalFormatting sqref="N160:N162">
    <cfRule type="expression" dxfId="54" priority="36" stopIfTrue="1">
      <formula>M160="■"</formula>
    </cfRule>
  </conditionalFormatting>
  <conditionalFormatting sqref="N164:N166">
    <cfRule type="expression" dxfId="53" priority="35" stopIfTrue="1">
      <formula>M164="■"</formula>
    </cfRule>
  </conditionalFormatting>
  <conditionalFormatting sqref="N168:N170">
    <cfRule type="expression" dxfId="52" priority="34" stopIfTrue="1">
      <formula>M168="■"</formula>
    </cfRule>
  </conditionalFormatting>
  <conditionalFormatting sqref="N172:N174">
    <cfRule type="expression" dxfId="51" priority="7" stopIfTrue="1">
      <formula>M172="■"</formula>
    </cfRule>
  </conditionalFormatting>
  <conditionalFormatting sqref="N176:N178">
    <cfRule type="expression" dxfId="50" priority="3" stopIfTrue="1">
      <formula>M176="■"</formula>
    </cfRule>
  </conditionalFormatting>
  <conditionalFormatting sqref="N180:N182 F181:F182 J181:J182">
    <cfRule type="expression" dxfId="49" priority="112" stopIfTrue="1">
      <formula>E180=TRUE</formula>
    </cfRule>
  </conditionalFormatting>
  <dataValidations count="2">
    <dataValidation type="list" allowBlank="1" showInputMessage="1" showErrorMessage="1" sqref="E3:E4 I168:I170 M100:M101 I140 I176 M72:M73 E179:E180 I180 M152:M153 M172 I152:I153 M168:M170 M160:M162 E155:E173 M104:M106 E143:E149 E135:E137 I144:I145 E175:E176 I148 M136 M132:M133 E119:E125 M124 M112:M113 I136:I137 I124:I125 I128 M148 M120:M122 E127:E128 M96:M97 I116:I117 E87:E89 I100:I102 I112:I114 M108:M109 I96:I97 E91:E117 I108:I109 M88:M89 M92:M94 I84:I85 I76:I78 E183 M80:M82 M36:M38 I88:I89 E59:E73 E131:E133 I160:I162 I72:I73 E75:E85 E35:E53 M64:M65 M60:M62 I60:I62 I40:I42 E31:E32 E55:E57 M48:M50 M40:M41 I56:I57 I28 M156:M158 I156:I158 I120:I122 I104:I106 M116 E151:E153 I92:I94 M76:M78 I80:I82 M68:M70 M144:M145 I48:I50 M44:M46 I44:I46 I36:I38 I68:I70 I132:I133 E139:E140 M84:M85 I164:I166 I64:I66 I32 M56:M57 I24:I25 I20:I22 E27:E28 I52:I53 M24 M16 E19:E25 I16:I17 M20:M22 I12:I14 E6:E17 M3 M7:M9 M176 I7:I9 M12:M14 I3:I4 M164:M166 M52 I172:I173" xr:uid="{D54EA803-F81F-4F3A-804E-416C0D59560F}">
      <formula1>$W$1:$W$2</formula1>
    </dataValidation>
    <dataValidation imeMode="on" allowBlank="1" showInputMessage="1" showErrorMessage="1" sqref="J79:P79 J179:P179 J67:P67 J11:P11 J19:P19 J15:P15 J23:P23 J27:P27 J39:P39 J31:P31 J35:P35 J43:P43 J47:P47 J51:P51 J55:P55 J59:P59 J183:P183 J63:P63 J71:P71 J75:P75 J87:P87 J83:P83 J91:P91 J95:P95 J99:P99 J103:P103 J107:P107 J111:P111 J115:P115 J119:P119 J123:P123 J127:P127 J131:P131 J135:P135 J139:P139 J143:P143 J147:P147 J151:P151 J155:P155 J159:P159 J163:P163 J167:P167 J171:P171 J175:P175 J6:P6" xr:uid="{99CA104A-EB71-4ECD-BA83-F160772B1F6E}"/>
  </dataValidations>
  <pageMargins left="0.51181102362204722" right="0.31496062992125984" top="0.70866141732283472" bottom="0.39370078740157483" header="0.31496062992125984" footer="0.51181102362204722"/>
  <pageSetup paperSize="9" scale="86" fitToWidth="0" fitToHeight="3" orientation="portrait" useFirstPageNumber="1" r:id="rId1"/>
  <headerFooter alignWithMargins="0">
    <oddHeader>&amp;L&amp;12第１号様式　別紙４&amp;C&amp;12営　業　種　目　表&amp;R&amp;P/3</oddHeader>
  </headerFooter>
  <rowBreaks count="2" manualBreakCount="2">
    <brk id="67" max="16" man="1"/>
    <brk id="127"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449F7-E9A5-4F95-B274-F125999BD44E}">
  <dimension ref="A1:W59"/>
  <sheetViews>
    <sheetView showGridLines="0" view="pageBreakPreview" topLeftCell="A25" zoomScaleNormal="100" zoomScaleSheetLayoutView="100" workbookViewId="0">
      <selection activeCell="J54" sqref="J54:P54"/>
    </sheetView>
  </sheetViews>
  <sheetFormatPr defaultColWidth="9" defaultRowHeight="13.5"/>
  <cols>
    <col min="1" max="1" width="2.75" style="125" customWidth="1"/>
    <col min="2" max="2" width="13.875" style="122" customWidth="1"/>
    <col min="3" max="3" width="2.875" style="108" customWidth="1"/>
    <col min="4" max="4" width="16.875" style="122" customWidth="1"/>
    <col min="5" max="5" width="2.75" style="108" customWidth="1"/>
    <col min="6" max="6" width="2.875" style="125" customWidth="1"/>
    <col min="7" max="7" width="16.125" style="122" customWidth="1"/>
    <col min="8" max="8" width="1.375" style="108" customWidth="1"/>
    <col min="9" max="9" width="2.875" style="108" customWidth="1"/>
    <col min="10" max="10" width="3" style="127" customWidth="1"/>
    <col min="11" max="11" width="16.125" style="133" customWidth="1"/>
    <col min="12" max="12" width="1.375" style="134" customWidth="1"/>
    <col min="13" max="13" width="2.875" style="134" customWidth="1"/>
    <col min="14" max="14" width="3" style="127" customWidth="1"/>
    <col min="15" max="15" width="16.125" style="133" customWidth="1"/>
    <col min="16" max="16" width="1.25" style="134" customWidth="1"/>
    <col min="17" max="17" width="1.25" style="122" customWidth="1"/>
    <col min="18" max="19" width="6.625" style="125" customWidth="1"/>
    <col min="20" max="20" width="7.25" style="149" customWidth="1"/>
    <col min="21" max="22" width="7.25" style="143" customWidth="1"/>
    <col min="23" max="23" width="0" style="126" hidden="1" customWidth="1"/>
    <col min="24" max="16384" width="9" style="108"/>
  </cols>
  <sheetData>
    <row r="1" spans="1:23">
      <c r="A1" s="97" t="s">
        <v>179</v>
      </c>
      <c r="B1" s="98"/>
      <c r="C1" s="99" t="s">
        <v>186</v>
      </c>
      <c r="D1" s="98"/>
      <c r="E1" s="100"/>
      <c r="F1" s="101"/>
      <c r="G1" s="102"/>
      <c r="H1" s="100"/>
      <c r="I1" s="100"/>
      <c r="J1" s="103"/>
      <c r="K1" s="104"/>
      <c r="L1" s="105"/>
      <c r="M1" s="105"/>
      <c r="N1" s="103"/>
      <c r="O1" s="104"/>
      <c r="P1" s="105"/>
      <c r="Q1" s="106"/>
      <c r="R1" s="107"/>
      <c r="S1" s="108"/>
      <c r="T1" s="143"/>
      <c r="W1" s="109" t="s">
        <v>636</v>
      </c>
    </row>
    <row r="2" spans="1:23" ht="24.75" customHeight="1" thickBot="1">
      <c r="A2" s="110" t="s">
        <v>508</v>
      </c>
      <c r="B2" s="111" t="s">
        <v>15</v>
      </c>
      <c r="C2" s="112" t="s">
        <v>508</v>
      </c>
      <c r="D2" s="113" t="s">
        <v>15</v>
      </c>
      <c r="E2" s="162" t="s">
        <v>708</v>
      </c>
      <c r="F2" s="115"/>
      <c r="G2" s="116"/>
      <c r="H2" s="114"/>
      <c r="I2" s="114"/>
      <c r="J2" s="117"/>
      <c r="K2" s="118"/>
      <c r="L2" s="119"/>
      <c r="M2" s="119"/>
      <c r="N2" s="117"/>
      <c r="O2" s="118"/>
      <c r="P2" s="119"/>
      <c r="Q2" s="120"/>
      <c r="R2" s="121"/>
      <c r="S2" s="108"/>
      <c r="T2" s="139" t="s">
        <v>613</v>
      </c>
      <c r="W2" s="109" t="s">
        <v>637</v>
      </c>
    </row>
    <row r="3" spans="1:23" ht="13.5" customHeight="1">
      <c r="A3" s="173">
        <v>10</v>
      </c>
      <c r="B3" s="480" t="s">
        <v>699</v>
      </c>
      <c r="C3" s="174">
        <v>1</v>
      </c>
      <c r="D3" s="175" t="s">
        <v>700</v>
      </c>
      <c r="E3" s="165" t="s">
        <v>638</v>
      </c>
      <c r="F3" s="176">
        <v>1</v>
      </c>
      <c r="G3" s="198" t="s">
        <v>701</v>
      </c>
      <c r="I3" s="169" t="s">
        <v>638</v>
      </c>
      <c r="J3" s="127">
        <v>2</v>
      </c>
      <c r="K3" s="200" t="s">
        <v>217</v>
      </c>
      <c r="M3" s="169" t="s">
        <v>638</v>
      </c>
      <c r="N3" s="127">
        <v>3</v>
      </c>
      <c r="O3" s="200" t="s">
        <v>702</v>
      </c>
      <c r="Q3" s="123"/>
      <c r="R3" s="479"/>
      <c r="S3" s="124"/>
      <c r="T3" s="144" t="str">
        <f>IF(E3="■","010101","")</f>
        <v/>
      </c>
      <c r="U3" s="145" t="str">
        <f>IF(I3="■","010102","")</f>
        <v/>
      </c>
      <c r="V3" s="159" t="str">
        <f>IF(M3="■","010103","")</f>
        <v/>
      </c>
      <c r="W3" s="107"/>
    </row>
    <row r="4" spans="1:23">
      <c r="A4" s="177"/>
      <c r="B4" s="480"/>
      <c r="C4" s="178"/>
      <c r="D4" s="175"/>
      <c r="E4" s="165" t="s">
        <v>638</v>
      </c>
      <c r="F4" s="125">
        <v>4</v>
      </c>
      <c r="G4" s="198" t="s">
        <v>703</v>
      </c>
      <c r="I4" s="166" t="s">
        <v>638</v>
      </c>
      <c r="J4" s="127">
        <v>5</v>
      </c>
      <c r="K4" s="200" t="s">
        <v>704</v>
      </c>
      <c r="M4" s="166"/>
      <c r="Q4" s="123"/>
      <c r="R4" s="479"/>
      <c r="T4" s="146" t="str">
        <f>IF(E4="■","010104","")</f>
        <v/>
      </c>
      <c r="U4" s="143" t="str">
        <f>IF(I4="■","010105","")</f>
        <v/>
      </c>
      <c r="V4" s="160"/>
    </row>
    <row r="5" spans="1:23">
      <c r="A5" s="179"/>
      <c r="B5" s="180"/>
      <c r="C5" s="178"/>
      <c r="D5" s="181"/>
      <c r="E5" s="167"/>
      <c r="I5" s="182"/>
      <c r="M5" s="183"/>
      <c r="Q5" s="123"/>
      <c r="R5" s="479"/>
      <c r="T5" s="146"/>
      <c r="V5" s="160"/>
    </row>
    <row r="6" spans="1:23">
      <c r="A6" s="179"/>
      <c r="B6" s="180"/>
      <c r="C6" s="184"/>
      <c r="D6" s="185"/>
      <c r="E6" s="170" t="s">
        <v>638</v>
      </c>
      <c r="F6" s="186">
        <v>99</v>
      </c>
      <c r="G6" s="201" t="s">
        <v>705</v>
      </c>
      <c r="H6" s="187"/>
      <c r="I6" s="188" t="s">
        <v>16</v>
      </c>
      <c r="J6" s="493"/>
      <c r="K6" s="493"/>
      <c r="L6" s="493"/>
      <c r="M6" s="493"/>
      <c r="N6" s="493"/>
      <c r="O6" s="493"/>
      <c r="P6" s="493"/>
      <c r="Q6" s="128" t="s">
        <v>17</v>
      </c>
      <c r="R6" s="129" t="str">
        <f>IF(E6="■","←必須","")</f>
        <v/>
      </c>
      <c r="S6" s="481"/>
      <c r="T6" s="147" t="str">
        <f>IF(E6="■","010199","")</f>
        <v/>
      </c>
      <c r="U6" s="148"/>
      <c r="V6" s="161"/>
    </row>
    <row r="7" spans="1:23">
      <c r="A7" s="179"/>
      <c r="B7" s="189"/>
      <c r="C7" s="190">
        <v>2</v>
      </c>
      <c r="D7" s="191" t="s">
        <v>706</v>
      </c>
      <c r="E7" s="165" t="s">
        <v>638</v>
      </c>
      <c r="F7" s="192">
        <v>1</v>
      </c>
      <c r="G7" s="193" t="s">
        <v>709</v>
      </c>
      <c r="H7" s="194"/>
      <c r="I7" s="171" t="s">
        <v>638</v>
      </c>
      <c r="J7" s="195">
        <v>2</v>
      </c>
      <c r="K7" s="210" t="s">
        <v>710</v>
      </c>
      <c r="L7" s="197"/>
      <c r="M7" s="171" t="s">
        <v>638</v>
      </c>
      <c r="N7" s="195">
        <v>3</v>
      </c>
      <c r="O7" s="210" t="s">
        <v>711</v>
      </c>
      <c r="P7" s="197"/>
      <c r="Q7" s="130"/>
      <c r="R7" s="482"/>
      <c r="S7" s="481"/>
      <c r="T7" s="144" t="str">
        <f>IF(E7="■","010201","")</f>
        <v/>
      </c>
      <c r="U7" s="145" t="str">
        <f>IF(I7="■","010202","")</f>
        <v/>
      </c>
      <c r="V7" s="159" t="str">
        <f>IF(M7="■","010203","")</f>
        <v/>
      </c>
      <c r="W7" s="109"/>
    </row>
    <row r="8" spans="1:23">
      <c r="A8" s="179"/>
      <c r="B8" s="189"/>
      <c r="C8" s="178"/>
      <c r="D8" s="175" t="s">
        <v>707</v>
      </c>
      <c r="E8" s="165" t="s">
        <v>638</v>
      </c>
      <c r="F8" s="125">
        <v>4</v>
      </c>
      <c r="G8" s="198" t="s">
        <v>712</v>
      </c>
      <c r="I8" s="166"/>
      <c r="M8" s="166"/>
      <c r="Q8" s="123"/>
      <c r="R8" s="482"/>
      <c r="T8" s="146" t="str">
        <f>IF(E8="■","010204","")</f>
        <v/>
      </c>
      <c r="U8" s="143" t="str">
        <f>IF(I8="■","010205","")</f>
        <v/>
      </c>
      <c r="V8" s="160" t="str">
        <f>IF(M8="■","010206","")</f>
        <v/>
      </c>
    </row>
    <row r="9" spans="1:23">
      <c r="A9" s="179"/>
      <c r="B9" s="180"/>
      <c r="C9" s="178"/>
      <c r="D9" s="181"/>
      <c r="E9" s="165"/>
      <c r="G9" s="198"/>
      <c r="I9" s="199"/>
      <c r="M9" s="183"/>
      <c r="Q9" s="123"/>
      <c r="R9" s="482"/>
      <c r="T9" s="146" t="str">
        <f>IF(E9="■","010210","")</f>
        <v/>
      </c>
      <c r="V9" s="160"/>
    </row>
    <row r="10" spans="1:23">
      <c r="A10" s="179"/>
      <c r="B10" s="180"/>
      <c r="C10" s="184"/>
      <c r="D10" s="185"/>
      <c r="E10" s="170" t="s">
        <v>638</v>
      </c>
      <c r="F10" s="186">
        <v>99</v>
      </c>
      <c r="G10" s="201" t="s">
        <v>713</v>
      </c>
      <c r="H10" s="187"/>
      <c r="I10" s="188" t="s">
        <v>16</v>
      </c>
      <c r="J10" s="493"/>
      <c r="K10" s="493"/>
      <c r="L10" s="493"/>
      <c r="M10" s="493"/>
      <c r="N10" s="493"/>
      <c r="O10" s="493"/>
      <c r="P10" s="493"/>
      <c r="Q10" s="128" t="s">
        <v>17</v>
      </c>
      <c r="R10" s="129" t="str">
        <f>IF(E10="■","←必須","")</f>
        <v/>
      </c>
      <c r="S10" s="131"/>
      <c r="T10" s="147" t="str">
        <f>IF(E10="■","010299","")</f>
        <v/>
      </c>
      <c r="U10" s="148"/>
      <c r="V10" s="161"/>
    </row>
    <row r="11" spans="1:23">
      <c r="A11" s="177"/>
      <c r="B11" s="163"/>
      <c r="C11" s="190">
        <v>3</v>
      </c>
      <c r="D11" s="191" t="s">
        <v>796</v>
      </c>
      <c r="E11" s="165" t="s">
        <v>638</v>
      </c>
      <c r="F11" s="192">
        <v>1</v>
      </c>
      <c r="G11" s="193" t="s">
        <v>797</v>
      </c>
      <c r="H11" s="194"/>
      <c r="I11" s="171" t="s">
        <v>638</v>
      </c>
      <c r="J11" s="195">
        <v>2</v>
      </c>
      <c r="K11" s="210" t="s">
        <v>798</v>
      </c>
      <c r="L11" s="197"/>
      <c r="M11" s="171" t="s">
        <v>638</v>
      </c>
      <c r="N11" s="195">
        <v>3</v>
      </c>
      <c r="O11" s="210" t="s">
        <v>799</v>
      </c>
      <c r="P11" s="197"/>
      <c r="Q11" s="130"/>
      <c r="R11" s="479"/>
      <c r="S11" s="131"/>
      <c r="T11" s="146" t="str">
        <f>IF(E11="■","020101","")</f>
        <v/>
      </c>
      <c r="U11" s="143" t="str">
        <f>IF(I11="■","020102","")</f>
        <v/>
      </c>
      <c r="V11" s="160" t="str">
        <f>IF(M11="■","020103","")</f>
        <v/>
      </c>
    </row>
    <row r="12" spans="1:23">
      <c r="A12" s="179"/>
      <c r="B12" s="189"/>
      <c r="C12" s="178"/>
      <c r="D12" s="175"/>
      <c r="E12" s="165" t="s">
        <v>638</v>
      </c>
      <c r="F12" s="125">
        <v>4</v>
      </c>
      <c r="G12" s="198" t="s">
        <v>800</v>
      </c>
      <c r="I12" s="166"/>
      <c r="K12" s="200"/>
      <c r="M12" s="166"/>
      <c r="O12" s="200"/>
      <c r="Q12" s="123"/>
      <c r="R12" s="479"/>
      <c r="T12" s="146" t="str">
        <f>IF(E12="■","020104","")</f>
        <v/>
      </c>
      <c r="U12" s="143" t="str">
        <f>IF(I12="■","020105","")</f>
        <v/>
      </c>
      <c r="V12" s="160" t="str">
        <f>IF(M12="■","020106","")</f>
        <v/>
      </c>
    </row>
    <row r="13" spans="1:23">
      <c r="A13" s="179"/>
      <c r="B13" s="180"/>
      <c r="C13" s="178"/>
      <c r="D13" s="181"/>
      <c r="E13" s="165"/>
      <c r="I13" s="166"/>
      <c r="M13" s="166"/>
      <c r="O13" s="200"/>
      <c r="Q13" s="123"/>
      <c r="R13" s="121"/>
      <c r="T13" s="146"/>
      <c r="V13" s="160"/>
    </row>
    <row r="14" spans="1:23" ht="14.25" customHeight="1">
      <c r="A14" s="179"/>
      <c r="B14" s="181"/>
      <c r="C14" s="184"/>
      <c r="D14" s="185"/>
      <c r="E14" s="170" t="s">
        <v>638</v>
      </c>
      <c r="F14" s="186">
        <v>99</v>
      </c>
      <c r="G14" s="201" t="s">
        <v>801</v>
      </c>
      <c r="H14" s="187"/>
      <c r="I14" s="188" t="s">
        <v>16</v>
      </c>
      <c r="J14" s="493"/>
      <c r="K14" s="493"/>
      <c r="L14" s="493"/>
      <c r="M14" s="493"/>
      <c r="N14" s="493"/>
      <c r="O14" s="493"/>
      <c r="P14" s="493"/>
      <c r="Q14" s="128" t="s">
        <v>17</v>
      </c>
      <c r="R14" s="129" t="str">
        <f>IF(E14="■","←必須","")</f>
        <v/>
      </c>
      <c r="S14" s="131"/>
      <c r="T14" s="147" t="str">
        <f>IF(E14="■","020199","")</f>
        <v/>
      </c>
      <c r="U14" s="148"/>
      <c r="V14" s="161"/>
    </row>
    <row r="15" spans="1:23">
      <c r="A15" s="177"/>
      <c r="B15" s="163"/>
      <c r="C15" s="190">
        <v>4</v>
      </c>
      <c r="D15" s="191" t="s">
        <v>802</v>
      </c>
      <c r="E15" s="165" t="s">
        <v>638</v>
      </c>
      <c r="F15" s="192">
        <v>1</v>
      </c>
      <c r="G15" s="193" t="s">
        <v>803</v>
      </c>
      <c r="H15" s="194"/>
      <c r="I15" s="171" t="s">
        <v>638</v>
      </c>
      <c r="J15" s="195">
        <v>2</v>
      </c>
      <c r="K15" s="210" t="s">
        <v>804</v>
      </c>
      <c r="L15" s="197"/>
      <c r="M15" s="171" t="s">
        <v>638</v>
      </c>
      <c r="N15" s="195">
        <v>3</v>
      </c>
      <c r="O15" s="210" t="s">
        <v>805</v>
      </c>
      <c r="P15" s="197"/>
      <c r="Q15" s="130"/>
      <c r="R15" s="479"/>
      <c r="S15" s="131"/>
      <c r="T15" s="146" t="str">
        <f>IF(E15="■","020101","")</f>
        <v/>
      </c>
      <c r="U15" s="143" t="str">
        <f>IF(I15="■","020102","")</f>
        <v/>
      </c>
      <c r="V15" s="160" t="str">
        <f>IF(M15="■","020103","")</f>
        <v/>
      </c>
    </row>
    <row r="16" spans="1:23">
      <c r="A16" s="179"/>
      <c r="B16" s="189"/>
      <c r="C16" s="178"/>
      <c r="D16" s="175"/>
      <c r="E16" s="165" t="s">
        <v>638</v>
      </c>
      <c r="F16" s="125">
        <v>4</v>
      </c>
      <c r="G16" s="198" t="s">
        <v>806</v>
      </c>
      <c r="I16" s="166"/>
      <c r="K16" s="200"/>
      <c r="M16" s="166"/>
      <c r="O16" s="200"/>
      <c r="Q16" s="123"/>
      <c r="R16" s="479"/>
      <c r="T16" s="146" t="str">
        <f>IF(E16="■","020104","")</f>
        <v/>
      </c>
      <c r="U16" s="143" t="str">
        <f>IF(I16="■","020105","")</f>
        <v/>
      </c>
      <c r="V16" s="160" t="str">
        <f>IF(M16="■","020106","")</f>
        <v/>
      </c>
    </row>
    <row r="17" spans="1:22">
      <c r="A17" s="179"/>
      <c r="B17" s="180"/>
      <c r="C17" s="178"/>
      <c r="D17" s="181"/>
      <c r="E17" s="165"/>
      <c r="I17" s="166"/>
      <c r="M17" s="166"/>
      <c r="O17" s="200"/>
      <c r="Q17" s="123"/>
      <c r="R17" s="121"/>
      <c r="T17" s="146"/>
      <c r="V17" s="160"/>
    </row>
    <row r="18" spans="1:22" ht="14.25" customHeight="1">
      <c r="A18" s="179"/>
      <c r="B18" s="181"/>
      <c r="C18" s="184"/>
      <c r="D18" s="185"/>
      <c r="E18" s="170" t="s">
        <v>638</v>
      </c>
      <c r="F18" s="186">
        <v>99</v>
      </c>
      <c r="G18" s="201" t="s">
        <v>807</v>
      </c>
      <c r="H18" s="187"/>
      <c r="I18" s="188" t="s">
        <v>16</v>
      </c>
      <c r="J18" s="493"/>
      <c r="K18" s="493"/>
      <c r="L18" s="493"/>
      <c r="M18" s="493"/>
      <c r="N18" s="493"/>
      <c r="O18" s="493"/>
      <c r="P18" s="493"/>
      <c r="Q18" s="128" t="s">
        <v>17</v>
      </c>
      <c r="R18" s="129" t="str">
        <f>IF(E18="■","←必須","")</f>
        <v/>
      </c>
      <c r="S18" s="131"/>
      <c r="T18" s="147" t="str">
        <f>IF(E18="■","020199","")</f>
        <v/>
      </c>
      <c r="U18" s="148"/>
      <c r="V18" s="161"/>
    </row>
    <row r="19" spans="1:22">
      <c r="A19" s="177"/>
      <c r="B19" s="163"/>
      <c r="C19" s="190">
        <v>5</v>
      </c>
      <c r="D19" s="191" t="s">
        <v>714</v>
      </c>
      <c r="E19" s="165" t="s">
        <v>638</v>
      </c>
      <c r="F19" s="192">
        <v>1</v>
      </c>
      <c r="G19" s="193" t="s">
        <v>715</v>
      </c>
      <c r="H19" s="194"/>
      <c r="I19" s="171" t="s">
        <v>638</v>
      </c>
      <c r="J19" s="195">
        <v>2</v>
      </c>
      <c r="K19" s="210" t="s">
        <v>716</v>
      </c>
      <c r="L19" s="197"/>
      <c r="M19" s="171" t="s">
        <v>638</v>
      </c>
      <c r="N19" s="195">
        <v>3</v>
      </c>
      <c r="O19" s="210" t="s">
        <v>717</v>
      </c>
      <c r="P19" s="197"/>
      <c r="Q19" s="130"/>
      <c r="R19" s="479"/>
      <c r="S19" s="131"/>
      <c r="T19" s="146" t="str">
        <f>IF(E19="■","020101","")</f>
        <v/>
      </c>
      <c r="U19" s="143" t="str">
        <f>IF(I19="■","020102","")</f>
        <v/>
      </c>
      <c r="V19" s="160" t="str">
        <f>IF(M19="■","020103","")</f>
        <v/>
      </c>
    </row>
    <row r="20" spans="1:22">
      <c r="A20" s="179"/>
      <c r="B20" s="189"/>
      <c r="C20" s="178"/>
      <c r="D20" s="175"/>
      <c r="E20" s="165" t="s">
        <v>638</v>
      </c>
      <c r="F20" s="125">
        <v>4</v>
      </c>
      <c r="G20" s="198" t="s">
        <v>718</v>
      </c>
      <c r="I20" s="166" t="s">
        <v>638</v>
      </c>
      <c r="J20" s="127">
        <v>5</v>
      </c>
      <c r="K20" s="200" t="s">
        <v>719</v>
      </c>
      <c r="M20" s="166" t="s">
        <v>638</v>
      </c>
      <c r="N20" s="127">
        <v>6</v>
      </c>
      <c r="O20" s="200" t="s">
        <v>808</v>
      </c>
      <c r="Q20" s="123"/>
      <c r="R20" s="479"/>
      <c r="T20" s="146" t="str">
        <f>IF(E20="■","020104","")</f>
        <v/>
      </c>
      <c r="U20" s="143" t="str">
        <f>IF(I20="■","020105","")</f>
        <v/>
      </c>
      <c r="V20" s="160" t="str">
        <f>IF(M20="■","020106","")</f>
        <v/>
      </c>
    </row>
    <row r="21" spans="1:22">
      <c r="A21" s="179"/>
      <c r="B21" s="180"/>
      <c r="C21" s="178"/>
      <c r="D21" s="181"/>
      <c r="E21" s="165" t="s">
        <v>638</v>
      </c>
      <c r="F21" s="125">
        <v>7</v>
      </c>
      <c r="G21" s="198" t="s">
        <v>809</v>
      </c>
      <c r="I21" s="166" t="s">
        <v>638</v>
      </c>
      <c r="J21" s="127">
        <v>8</v>
      </c>
      <c r="K21" s="200" t="s">
        <v>810</v>
      </c>
      <c r="M21" s="166" t="s">
        <v>638</v>
      </c>
      <c r="N21" s="127">
        <v>9</v>
      </c>
      <c r="O21" s="200" t="s">
        <v>811</v>
      </c>
      <c r="Q21" s="123"/>
      <c r="R21" s="121"/>
      <c r="T21" s="146"/>
      <c r="V21" s="160"/>
    </row>
    <row r="22" spans="1:22" ht="14.25" customHeight="1">
      <c r="A22" s="179"/>
      <c r="B22" s="181"/>
      <c r="C22" s="184"/>
      <c r="D22" s="185"/>
      <c r="E22" s="170" t="s">
        <v>638</v>
      </c>
      <c r="F22" s="186">
        <v>99</v>
      </c>
      <c r="G22" s="201" t="s">
        <v>720</v>
      </c>
      <c r="H22" s="187"/>
      <c r="I22" s="188" t="s">
        <v>16</v>
      </c>
      <c r="J22" s="493"/>
      <c r="K22" s="493"/>
      <c r="L22" s="493"/>
      <c r="M22" s="493"/>
      <c r="N22" s="493"/>
      <c r="O22" s="493"/>
      <c r="P22" s="493"/>
      <c r="Q22" s="128" t="s">
        <v>17</v>
      </c>
      <c r="R22" s="129" t="str">
        <f>IF(E22="■","←必須","")</f>
        <v/>
      </c>
      <c r="S22" s="131"/>
      <c r="T22" s="147" t="str">
        <f>IF(E22="■","020199","")</f>
        <v/>
      </c>
      <c r="U22" s="148"/>
      <c r="V22" s="161"/>
    </row>
    <row r="23" spans="1:22">
      <c r="A23" s="177"/>
      <c r="B23" s="212"/>
      <c r="C23" s="190">
        <v>6</v>
      </c>
      <c r="D23" s="191" t="s">
        <v>721</v>
      </c>
      <c r="E23" s="165" t="s">
        <v>638</v>
      </c>
      <c r="F23" s="192">
        <v>1</v>
      </c>
      <c r="G23" s="193" t="s">
        <v>722</v>
      </c>
      <c r="H23" s="194"/>
      <c r="I23" s="171" t="s">
        <v>638</v>
      </c>
      <c r="J23" s="195">
        <v>2</v>
      </c>
      <c r="K23" s="210" t="s">
        <v>723</v>
      </c>
      <c r="L23" s="197"/>
      <c r="M23" s="171" t="s">
        <v>638</v>
      </c>
      <c r="N23" s="195">
        <v>3</v>
      </c>
      <c r="O23" s="210" t="s">
        <v>724</v>
      </c>
      <c r="P23" s="197"/>
      <c r="Q23" s="130"/>
      <c r="R23" s="479"/>
      <c r="S23" s="131"/>
      <c r="T23" s="144" t="str">
        <f>IF(E23="■","030101","")</f>
        <v/>
      </c>
      <c r="U23" s="145" t="str">
        <f>IF(I23="■","030102","")</f>
        <v/>
      </c>
      <c r="V23" s="159" t="str">
        <f>IF(M23="■","030103","")</f>
        <v/>
      </c>
    </row>
    <row r="24" spans="1:22" s="126" customFormat="1">
      <c r="A24" s="179"/>
      <c r="B24" s="180"/>
      <c r="C24" s="178"/>
      <c r="D24" s="181"/>
      <c r="E24" s="165" t="s">
        <v>638</v>
      </c>
      <c r="F24" s="125">
        <v>4</v>
      </c>
      <c r="G24" s="198" t="s">
        <v>812</v>
      </c>
      <c r="H24" s="108"/>
      <c r="I24" s="166" t="s">
        <v>638</v>
      </c>
      <c r="J24" s="127">
        <v>5</v>
      </c>
      <c r="K24" s="200" t="s">
        <v>813</v>
      </c>
      <c r="L24" s="134"/>
      <c r="M24" s="166"/>
      <c r="N24" s="127"/>
      <c r="O24" s="200"/>
      <c r="P24" s="134"/>
      <c r="Q24" s="123"/>
      <c r="R24" s="479"/>
      <c r="S24" s="108"/>
      <c r="T24" s="146"/>
      <c r="U24" s="143" t="str">
        <f>IF(I24="■","030105","")</f>
        <v/>
      </c>
      <c r="V24" s="160"/>
    </row>
    <row r="25" spans="1:22" s="126" customFormat="1">
      <c r="A25" s="179"/>
      <c r="B25" s="180"/>
      <c r="C25" s="178"/>
      <c r="D25" s="181"/>
      <c r="E25" s="165"/>
      <c r="F25" s="125"/>
      <c r="G25" s="198"/>
      <c r="H25" s="108"/>
      <c r="I25" s="166"/>
      <c r="J25" s="127"/>
      <c r="K25" s="200"/>
      <c r="L25" s="134"/>
      <c r="M25" s="166"/>
      <c r="N25" s="127"/>
      <c r="O25" s="200"/>
      <c r="P25" s="134"/>
      <c r="Q25" s="123"/>
      <c r="R25" s="121"/>
      <c r="S25" s="108"/>
      <c r="T25" s="146"/>
      <c r="U25" s="143"/>
      <c r="V25" s="160"/>
    </row>
    <row r="26" spans="1:22" s="126" customFormat="1" ht="15.75" customHeight="1">
      <c r="A26" s="179"/>
      <c r="B26" s="180"/>
      <c r="C26" s="184"/>
      <c r="D26" s="185"/>
      <c r="E26" s="170" t="s">
        <v>638</v>
      </c>
      <c r="F26" s="186">
        <v>99</v>
      </c>
      <c r="G26" s="201" t="s">
        <v>725</v>
      </c>
      <c r="H26" s="187"/>
      <c r="I26" s="188" t="s">
        <v>16</v>
      </c>
      <c r="J26" s="493"/>
      <c r="K26" s="493"/>
      <c r="L26" s="493"/>
      <c r="M26" s="493"/>
      <c r="N26" s="493"/>
      <c r="O26" s="493"/>
      <c r="P26" s="493"/>
      <c r="Q26" s="128" t="s">
        <v>17</v>
      </c>
      <c r="R26" s="129" t="str">
        <f>IF(E26="■","←必須","")</f>
        <v/>
      </c>
      <c r="S26" s="131"/>
      <c r="T26" s="147" t="str">
        <f>IF(E26="■","030199","")</f>
        <v/>
      </c>
      <c r="U26" s="148"/>
      <c r="V26" s="161"/>
    </row>
    <row r="27" spans="1:22">
      <c r="A27" s="177"/>
      <c r="B27" s="212"/>
      <c r="C27" s="190">
        <v>7</v>
      </c>
      <c r="D27" s="191" t="s">
        <v>814</v>
      </c>
      <c r="E27" s="165" t="s">
        <v>638</v>
      </c>
      <c r="F27" s="192">
        <v>1</v>
      </c>
      <c r="G27" s="193" t="s">
        <v>815</v>
      </c>
      <c r="H27" s="194"/>
      <c r="I27" s="171" t="s">
        <v>638</v>
      </c>
      <c r="J27" s="195">
        <v>2</v>
      </c>
      <c r="K27" s="210" t="s">
        <v>816</v>
      </c>
      <c r="L27" s="197"/>
      <c r="M27" s="171" t="s">
        <v>638</v>
      </c>
      <c r="N27" s="195">
        <v>3</v>
      </c>
      <c r="O27" s="210" t="s">
        <v>817</v>
      </c>
      <c r="P27" s="197"/>
      <c r="Q27" s="130"/>
      <c r="R27" s="479"/>
      <c r="S27" s="131"/>
      <c r="T27" s="144" t="str">
        <f>IF(E27="■","030101","")</f>
        <v/>
      </c>
      <c r="U27" s="145" t="str">
        <f>IF(I27="■","030102","")</f>
        <v/>
      </c>
      <c r="V27" s="159" t="str">
        <f>IF(M27="■","030103","")</f>
        <v/>
      </c>
    </row>
    <row r="28" spans="1:22" s="126" customFormat="1">
      <c r="A28" s="179"/>
      <c r="B28" s="180"/>
      <c r="C28" s="178"/>
      <c r="D28" s="181"/>
      <c r="E28" s="165" t="s">
        <v>638</v>
      </c>
      <c r="F28" s="125">
        <v>4</v>
      </c>
      <c r="G28" s="198" t="s">
        <v>818</v>
      </c>
      <c r="H28" s="108"/>
      <c r="I28" s="166" t="s">
        <v>638</v>
      </c>
      <c r="J28" s="127">
        <v>5</v>
      </c>
      <c r="K28" s="200" t="s">
        <v>819</v>
      </c>
      <c r="L28" s="134"/>
      <c r="M28" s="166"/>
      <c r="N28" s="127"/>
      <c r="O28" s="200"/>
      <c r="P28" s="134"/>
      <c r="Q28" s="123"/>
      <c r="R28" s="479"/>
      <c r="S28" s="108"/>
      <c r="T28" s="146"/>
      <c r="U28" s="143" t="str">
        <f>IF(I28="■","030105","")</f>
        <v/>
      </c>
      <c r="V28" s="160"/>
    </row>
    <row r="29" spans="1:22" s="126" customFormat="1">
      <c r="A29" s="179"/>
      <c r="B29" s="180"/>
      <c r="C29" s="178"/>
      <c r="D29" s="181"/>
      <c r="E29" s="165"/>
      <c r="F29" s="125"/>
      <c r="G29" s="198"/>
      <c r="H29" s="108"/>
      <c r="I29" s="166"/>
      <c r="J29" s="127"/>
      <c r="K29" s="200"/>
      <c r="L29" s="134"/>
      <c r="M29" s="166"/>
      <c r="N29" s="127"/>
      <c r="O29" s="200"/>
      <c r="P29" s="134"/>
      <c r="Q29" s="123"/>
      <c r="R29" s="121"/>
      <c r="S29" s="108"/>
      <c r="T29" s="146"/>
      <c r="U29" s="143"/>
      <c r="V29" s="160"/>
    </row>
    <row r="30" spans="1:22" s="126" customFormat="1" ht="15.75" customHeight="1">
      <c r="A30" s="179"/>
      <c r="B30" s="180"/>
      <c r="C30" s="184"/>
      <c r="D30" s="185"/>
      <c r="E30" s="170" t="s">
        <v>638</v>
      </c>
      <c r="F30" s="186">
        <v>99</v>
      </c>
      <c r="G30" s="201" t="s">
        <v>820</v>
      </c>
      <c r="H30" s="187"/>
      <c r="I30" s="188" t="s">
        <v>16</v>
      </c>
      <c r="J30" s="493"/>
      <c r="K30" s="493"/>
      <c r="L30" s="493"/>
      <c r="M30" s="493"/>
      <c r="N30" s="493"/>
      <c r="O30" s="493"/>
      <c r="P30" s="493"/>
      <c r="Q30" s="128" t="s">
        <v>17</v>
      </c>
      <c r="R30" s="129" t="str">
        <f>IF(E30="■","←必須","")</f>
        <v/>
      </c>
      <c r="S30" s="131"/>
      <c r="T30" s="147" t="str">
        <f>IF(E30="■","030199","")</f>
        <v/>
      </c>
      <c r="U30" s="148"/>
      <c r="V30" s="161"/>
    </row>
    <row r="31" spans="1:22" s="126" customFormat="1" ht="14.25" customHeight="1">
      <c r="A31" s="179"/>
      <c r="B31" s="189"/>
      <c r="C31" s="190">
        <v>8</v>
      </c>
      <c r="D31" s="191" t="s">
        <v>726</v>
      </c>
      <c r="E31" s="165" t="s">
        <v>638</v>
      </c>
      <c r="F31" s="192">
        <v>1</v>
      </c>
      <c r="G31" s="193" t="s">
        <v>727</v>
      </c>
      <c r="H31" s="194"/>
      <c r="I31" s="171" t="s">
        <v>638</v>
      </c>
      <c r="J31" s="195">
        <v>2</v>
      </c>
      <c r="K31" s="210" t="s">
        <v>728</v>
      </c>
      <c r="L31" s="197"/>
      <c r="M31" s="171"/>
      <c r="N31" s="195"/>
      <c r="O31" s="196"/>
      <c r="P31" s="197"/>
      <c r="Q31" s="130"/>
      <c r="R31" s="479"/>
      <c r="S31" s="131"/>
      <c r="T31" s="144" t="str">
        <f>IF(E31="■","030201","")</f>
        <v/>
      </c>
      <c r="U31" s="145" t="str">
        <f>IF(I31="■","030202","")</f>
        <v/>
      </c>
      <c r="V31" s="159" t="str">
        <f>IF(M31="■","030203","")</f>
        <v/>
      </c>
    </row>
    <row r="32" spans="1:22" s="126" customFormat="1" ht="14.25" customHeight="1">
      <c r="A32" s="179"/>
      <c r="B32" s="189"/>
      <c r="C32" s="178"/>
      <c r="D32" s="175"/>
      <c r="E32" s="165"/>
      <c r="F32" s="125"/>
      <c r="G32" s="198"/>
      <c r="H32" s="108"/>
      <c r="I32" s="166"/>
      <c r="J32" s="127"/>
      <c r="K32" s="200"/>
      <c r="L32" s="134"/>
      <c r="M32" s="166"/>
      <c r="N32" s="127"/>
      <c r="O32" s="133"/>
      <c r="P32" s="134"/>
      <c r="Q32" s="123"/>
      <c r="R32" s="479"/>
      <c r="S32" s="131"/>
      <c r="T32" s="146"/>
      <c r="U32" s="143"/>
      <c r="V32" s="160"/>
    </row>
    <row r="33" spans="1:22" s="126" customFormat="1">
      <c r="A33" s="179"/>
      <c r="B33" s="180"/>
      <c r="C33" s="178"/>
      <c r="D33" s="181"/>
      <c r="E33" s="165"/>
      <c r="F33" s="125"/>
      <c r="G33" s="122"/>
      <c r="H33" s="108"/>
      <c r="I33" s="166"/>
      <c r="J33" s="127"/>
      <c r="K33" s="133"/>
      <c r="L33" s="134"/>
      <c r="M33" s="166"/>
      <c r="N33" s="127"/>
      <c r="O33" s="133"/>
      <c r="P33" s="134"/>
      <c r="Q33" s="123"/>
      <c r="R33" s="479"/>
      <c r="S33" s="108"/>
      <c r="T33" s="146" t="str">
        <f>IF(E33="■","030207","")</f>
        <v/>
      </c>
      <c r="U33" s="143" t="str">
        <f>IF(I33="■","030208","")</f>
        <v/>
      </c>
      <c r="V33" s="160" t="str">
        <f>IF(M33="■","030209","")</f>
        <v/>
      </c>
    </row>
    <row r="34" spans="1:22" s="126" customFormat="1" ht="17.25" customHeight="1">
      <c r="A34" s="179"/>
      <c r="B34" s="180"/>
      <c r="C34" s="184"/>
      <c r="D34" s="185"/>
      <c r="E34" s="170" t="s">
        <v>638</v>
      </c>
      <c r="F34" s="186">
        <v>99</v>
      </c>
      <c r="G34" s="201" t="s">
        <v>729</v>
      </c>
      <c r="H34" s="187"/>
      <c r="I34" s="188" t="s">
        <v>16</v>
      </c>
      <c r="J34" s="493"/>
      <c r="K34" s="493"/>
      <c r="L34" s="493"/>
      <c r="M34" s="493"/>
      <c r="N34" s="493"/>
      <c r="O34" s="493"/>
      <c r="P34" s="493"/>
      <c r="Q34" s="128" t="s">
        <v>17</v>
      </c>
      <c r="R34" s="129" t="str">
        <f>IF(E34="■","←必須","")</f>
        <v/>
      </c>
      <c r="S34" s="131"/>
      <c r="T34" s="147" t="str">
        <f>IF(E34="■","030299","")</f>
        <v/>
      </c>
      <c r="U34" s="148"/>
      <c r="V34" s="161"/>
    </row>
    <row r="35" spans="1:22" s="126" customFormat="1" ht="13.5" customHeight="1">
      <c r="A35" s="179"/>
      <c r="B35" s="189"/>
      <c r="C35" s="190">
        <v>9</v>
      </c>
      <c r="D35" s="191" t="s">
        <v>730</v>
      </c>
      <c r="E35" s="165" t="s">
        <v>638</v>
      </c>
      <c r="F35" s="192">
        <v>1</v>
      </c>
      <c r="G35" s="193" t="s">
        <v>731</v>
      </c>
      <c r="H35" s="194"/>
      <c r="I35" s="171" t="s">
        <v>638</v>
      </c>
      <c r="J35" s="195">
        <v>2</v>
      </c>
      <c r="K35" s="210" t="s">
        <v>732</v>
      </c>
      <c r="L35" s="197"/>
      <c r="M35" s="171"/>
      <c r="N35" s="195"/>
      <c r="O35" s="196"/>
      <c r="P35" s="197"/>
      <c r="Q35" s="130"/>
      <c r="R35" s="479"/>
      <c r="S35" s="131"/>
      <c r="T35" s="144" t="str">
        <f>IF(E35="■","030301","")</f>
        <v/>
      </c>
      <c r="U35" s="145" t="str">
        <f>IF(I35="■","030302","")</f>
        <v/>
      </c>
      <c r="V35" s="159" t="str">
        <f>IF(M35="■","030303","")</f>
        <v/>
      </c>
    </row>
    <row r="36" spans="1:22" s="126" customFormat="1" ht="13.5" customHeight="1">
      <c r="A36" s="179"/>
      <c r="B36" s="189"/>
      <c r="C36" s="178"/>
      <c r="D36" s="175"/>
      <c r="E36" s="165"/>
      <c r="F36" s="125"/>
      <c r="G36" s="198"/>
      <c r="H36" s="108"/>
      <c r="I36" s="166"/>
      <c r="J36" s="127"/>
      <c r="K36" s="200"/>
      <c r="L36" s="134"/>
      <c r="M36" s="166"/>
      <c r="N36" s="127"/>
      <c r="O36" s="133"/>
      <c r="P36" s="134"/>
      <c r="Q36" s="123"/>
      <c r="R36" s="479"/>
      <c r="S36" s="131"/>
      <c r="T36" s="146"/>
      <c r="U36" s="143"/>
      <c r="V36" s="160"/>
    </row>
    <row r="37" spans="1:22" s="126" customFormat="1">
      <c r="A37" s="179"/>
      <c r="B37" s="180"/>
      <c r="C37" s="178"/>
      <c r="D37" s="181"/>
      <c r="E37" s="202" t="b">
        <v>0</v>
      </c>
      <c r="F37" s="125"/>
      <c r="G37" s="122"/>
      <c r="H37" s="108"/>
      <c r="I37" s="199" t="b">
        <v>0</v>
      </c>
      <c r="J37" s="127"/>
      <c r="K37" s="133"/>
      <c r="L37" s="134"/>
      <c r="M37" s="183" t="b">
        <v>0</v>
      </c>
      <c r="N37" s="127"/>
      <c r="O37" s="133"/>
      <c r="P37" s="134"/>
      <c r="Q37" s="123"/>
      <c r="R37" s="479"/>
      <c r="S37" s="108"/>
      <c r="T37" s="146"/>
      <c r="U37" s="143"/>
      <c r="V37" s="160"/>
    </row>
    <row r="38" spans="1:22" s="126" customFormat="1" ht="15.75" customHeight="1">
      <c r="A38" s="179"/>
      <c r="B38" s="180"/>
      <c r="C38" s="184"/>
      <c r="D38" s="185"/>
      <c r="E38" s="170" t="s">
        <v>638</v>
      </c>
      <c r="F38" s="186">
        <v>99</v>
      </c>
      <c r="G38" s="201" t="s">
        <v>733</v>
      </c>
      <c r="H38" s="187"/>
      <c r="I38" s="188" t="s">
        <v>16</v>
      </c>
      <c r="J38" s="493"/>
      <c r="K38" s="493"/>
      <c r="L38" s="493"/>
      <c r="M38" s="493"/>
      <c r="N38" s="493"/>
      <c r="O38" s="493"/>
      <c r="P38" s="493"/>
      <c r="Q38" s="128" t="s">
        <v>17</v>
      </c>
      <c r="R38" s="129" t="str">
        <f>IF(E38="■","←必須","")</f>
        <v/>
      </c>
      <c r="S38" s="131"/>
      <c r="T38" s="147" t="str">
        <f>IF(E38="■","030399","")</f>
        <v/>
      </c>
      <c r="U38" s="148"/>
      <c r="V38" s="161"/>
    </row>
    <row r="39" spans="1:22" s="126" customFormat="1">
      <c r="A39" s="179"/>
      <c r="B39" s="189"/>
      <c r="C39" s="190">
        <v>10</v>
      </c>
      <c r="D39" s="191" t="s">
        <v>734</v>
      </c>
      <c r="E39" s="165" t="s">
        <v>638</v>
      </c>
      <c r="F39" s="192">
        <v>1</v>
      </c>
      <c r="G39" s="193" t="s">
        <v>735</v>
      </c>
      <c r="H39" s="194"/>
      <c r="I39" s="171" t="s">
        <v>638</v>
      </c>
      <c r="J39" s="195">
        <v>2</v>
      </c>
      <c r="K39" s="210" t="s">
        <v>736</v>
      </c>
      <c r="L39" s="197"/>
      <c r="M39" s="171" t="s">
        <v>638</v>
      </c>
      <c r="N39" s="195">
        <v>3</v>
      </c>
      <c r="O39" s="210" t="s">
        <v>737</v>
      </c>
      <c r="P39" s="197"/>
      <c r="Q39" s="130"/>
      <c r="R39" s="479"/>
      <c r="S39" s="131"/>
      <c r="T39" s="144" t="str">
        <f>IF(E39="■","030401","")</f>
        <v/>
      </c>
      <c r="U39" s="145" t="str">
        <f>IF(I39="■","030402","")</f>
        <v/>
      </c>
      <c r="V39" s="159"/>
    </row>
    <row r="40" spans="1:22" s="126" customFormat="1" ht="13.5" customHeight="1">
      <c r="A40" s="179"/>
      <c r="B40" s="189"/>
      <c r="C40" s="178"/>
      <c r="D40" s="175"/>
      <c r="E40" s="165" t="s">
        <v>638</v>
      </c>
      <c r="F40" s="125">
        <v>4</v>
      </c>
      <c r="G40" s="198" t="s">
        <v>821</v>
      </c>
      <c r="H40" s="108"/>
      <c r="I40" s="199" t="b">
        <v>0</v>
      </c>
      <c r="J40" s="127"/>
      <c r="K40" s="133"/>
      <c r="L40" s="134"/>
      <c r="M40" s="166"/>
      <c r="N40" s="127"/>
      <c r="O40" s="200"/>
      <c r="P40" s="134"/>
      <c r="Q40" s="123"/>
      <c r="R40" s="479"/>
      <c r="S40" s="108"/>
      <c r="T40" s="146"/>
      <c r="U40" s="143"/>
      <c r="V40" s="160"/>
    </row>
    <row r="41" spans="1:22" s="126" customFormat="1" ht="13.5" customHeight="1">
      <c r="A41" s="179"/>
      <c r="B41" s="189"/>
      <c r="C41" s="178"/>
      <c r="D41" s="175"/>
      <c r="E41" s="165"/>
      <c r="F41" s="125"/>
      <c r="G41" s="198"/>
      <c r="H41" s="108"/>
      <c r="I41" s="199"/>
      <c r="J41" s="127"/>
      <c r="K41" s="133"/>
      <c r="L41" s="134"/>
      <c r="M41" s="166"/>
      <c r="N41" s="127"/>
      <c r="O41" s="200"/>
      <c r="P41" s="134"/>
      <c r="Q41" s="123"/>
      <c r="R41" s="121"/>
      <c r="S41" s="108"/>
      <c r="T41" s="146"/>
      <c r="U41" s="143"/>
      <c r="V41" s="160"/>
    </row>
    <row r="42" spans="1:22" s="126" customFormat="1" ht="16.5" customHeight="1">
      <c r="A42" s="179"/>
      <c r="B42" s="180"/>
      <c r="C42" s="184"/>
      <c r="D42" s="185"/>
      <c r="E42" s="170" t="s">
        <v>638</v>
      </c>
      <c r="F42" s="186">
        <v>99</v>
      </c>
      <c r="G42" s="201" t="s">
        <v>738</v>
      </c>
      <c r="H42" s="187"/>
      <c r="I42" s="188" t="s">
        <v>16</v>
      </c>
      <c r="J42" s="493"/>
      <c r="K42" s="493"/>
      <c r="L42" s="493"/>
      <c r="M42" s="493"/>
      <c r="N42" s="493"/>
      <c r="O42" s="493"/>
      <c r="P42" s="493"/>
      <c r="Q42" s="128" t="s">
        <v>17</v>
      </c>
      <c r="R42" s="129" t="str">
        <f>IF(E42="■","←必須","")</f>
        <v/>
      </c>
      <c r="S42" s="131"/>
      <c r="T42" s="147" t="str">
        <f>IF(E42="■","030499","")</f>
        <v/>
      </c>
      <c r="U42" s="148"/>
      <c r="V42" s="161"/>
    </row>
    <row r="43" spans="1:22" s="126" customFormat="1">
      <c r="A43" s="177"/>
      <c r="B43" s="163"/>
      <c r="C43" s="190">
        <v>11</v>
      </c>
      <c r="D43" s="191" t="s">
        <v>739</v>
      </c>
      <c r="E43" s="165" t="s">
        <v>638</v>
      </c>
      <c r="F43" s="192">
        <v>1</v>
      </c>
      <c r="G43" s="193" t="s">
        <v>740</v>
      </c>
      <c r="H43" s="194"/>
      <c r="I43" s="171" t="s">
        <v>638</v>
      </c>
      <c r="J43" s="195">
        <v>2</v>
      </c>
      <c r="K43" s="210" t="s">
        <v>741</v>
      </c>
      <c r="L43" s="197"/>
      <c r="M43" s="171"/>
      <c r="N43" s="195"/>
      <c r="O43" s="196"/>
      <c r="P43" s="197"/>
      <c r="Q43" s="130"/>
      <c r="R43" s="479"/>
      <c r="S43" s="131"/>
      <c r="T43" s="144" t="str">
        <f>IF(E43="■","040101","")</f>
        <v/>
      </c>
      <c r="U43" s="145" t="str">
        <f>IF(I43="■","040102","")</f>
        <v/>
      </c>
      <c r="V43" s="159" t="str">
        <f>IF(M43="■","040103","")</f>
        <v/>
      </c>
    </row>
    <row r="44" spans="1:22" s="126" customFormat="1">
      <c r="A44" s="177"/>
      <c r="B44" s="238"/>
      <c r="C44" s="178"/>
      <c r="D44" s="175"/>
      <c r="E44" s="165"/>
      <c r="F44" s="125"/>
      <c r="G44" s="198"/>
      <c r="H44" s="108"/>
      <c r="I44" s="166"/>
      <c r="J44" s="127"/>
      <c r="K44" s="200"/>
      <c r="L44" s="134"/>
      <c r="M44" s="166"/>
      <c r="N44" s="127"/>
      <c r="O44" s="133"/>
      <c r="P44" s="134"/>
      <c r="Q44" s="123"/>
      <c r="R44" s="479"/>
      <c r="S44" s="131"/>
      <c r="T44" s="146"/>
      <c r="U44" s="143"/>
      <c r="V44" s="160"/>
    </row>
    <row r="45" spans="1:22" s="126" customFormat="1">
      <c r="A45" s="179"/>
      <c r="B45" s="180"/>
      <c r="C45" s="178"/>
      <c r="D45" s="181"/>
      <c r="E45" s="165"/>
      <c r="F45" s="125"/>
      <c r="G45" s="122"/>
      <c r="H45" s="108"/>
      <c r="I45" s="166"/>
      <c r="J45" s="127"/>
      <c r="K45" s="133"/>
      <c r="L45" s="134"/>
      <c r="M45" s="166"/>
      <c r="N45" s="127"/>
      <c r="O45" s="133"/>
      <c r="P45" s="134"/>
      <c r="Q45" s="123"/>
      <c r="R45" s="479"/>
      <c r="S45" s="108"/>
      <c r="T45" s="146" t="str">
        <f>IF(E45="■","040107","")</f>
        <v/>
      </c>
      <c r="U45" s="143" t="str">
        <f>IF(I45="■","040108","")</f>
        <v/>
      </c>
      <c r="V45" s="160" t="str">
        <f>IF(M45="■","040109","")</f>
        <v/>
      </c>
    </row>
    <row r="46" spans="1:22" s="126" customFormat="1">
      <c r="A46" s="179"/>
      <c r="B46" s="180"/>
      <c r="C46" s="184"/>
      <c r="D46" s="185"/>
      <c r="E46" s="170" t="s">
        <v>638</v>
      </c>
      <c r="F46" s="186">
        <v>99</v>
      </c>
      <c r="G46" s="201" t="s">
        <v>742</v>
      </c>
      <c r="H46" s="187"/>
      <c r="I46" s="188" t="s">
        <v>16</v>
      </c>
      <c r="J46" s="493"/>
      <c r="K46" s="493"/>
      <c r="L46" s="493"/>
      <c r="M46" s="493"/>
      <c r="N46" s="493"/>
      <c r="O46" s="493"/>
      <c r="P46" s="493"/>
      <c r="Q46" s="128" t="s">
        <v>17</v>
      </c>
      <c r="R46" s="129" t="str">
        <f>IF(E46="■","←必須","")</f>
        <v/>
      </c>
      <c r="S46" s="131"/>
      <c r="T46" s="147" t="str">
        <f>IF(E46="■","040199","")</f>
        <v/>
      </c>
      <c r="U46" s="148"/>
      <c r="V46" s="161"/>
    </row>
    <row r="47" spans="1:22" s="126" customFormat="1">
      <c r="A47" s="179"/>
      <c r="B47" s="189"/>
      <c r="C47" s="190">
        <v>12</v>
      </c>
      <c r="D47" s="191" t="s">
        <v>743</v>
      </c>
      <c r="E47" s="165" t="s">
        <v>638</v>
      </c>
      <c r="F47" s="192">
        <v>1</v>
      </c>
      <c r="G47" s="193" t="s">
        <v>744</v>
      </c>
      <c r="H47" s="194"/>
      <c r="I47" s="171" t="s">
        <v>638</v>
      </c>
      <c r="J47" s="195">
        <v>2</v>
      </c>
      <c r="K47" s="210" t="s">
        <v>745</v>
      </c>
      <c r="L47" s="197"/>
      <c r="M47" s="171" t="s">
        <v>638</v>
      </c>
      <c r="N47" s="195">
        <v>3</v>
      </c>
      <c r="O47" s="210" t="s">
        <v>746</v>
      </c>
      <c r="P47" s="197"/>
      <c r="Q47" s="130"/>
      <c r="R47" s="479"/>
      <c r="S47" s="131"/>
      <c r="T47" s="144" t="str">
        <f>IF(E47="■","040201","")</f>
        <v/>
      </c>
      <c r="U47" s="145" t="str">
        <f>IF(I47="■","040202","")</f>
        <v/>
      </c>
      <c r="V47" s="159" t="str">
        <f>IF(M47="■","040203","")</f>
        <v/>
      </c>
    </row>
    <row r="48" spans="1:22" s="126" customFormat="1">
      <c r="A48" s="179"/>
      <c r="B48" s="189"/>
      <c r="C48" s="178"/>
      <c r="D48" s="175"/>
      <c r="E48" s="165" t="s">
        <v>638</v>
      </c>
      <c r="F48" s="125">
        <v>4</v>
      </c>
      <c r="G48" s="198" t="s">
        <v>747</v>
      </c>
      <c r="H48" s="108"/>
      <c r="I48" s="166"/>
      <c r="J48" s="127"/>
      <c r="K48" s="133"/>
      <c r="L48" s="134"/>
      <c r="M48" s="166"/>
      <c r="N48" s="127"/>
      <c r="O48" s="486"/>
      <c r="P48" s="487"/>
      <c r="Q48" s="123"/>
      <c r="R48" s="479"/>
      <c r="S48" s="108"/>
      <c r="T48" s="146" t="str">
        <f>IF(E48="■","040204","")</f>
        <v/>
      </c>
      <c r="U48" s="143" t="str">
        <f>IF(I48="■","040205","")</f>
        <v/>
      </c>
      <c r="V48" s="160" t="str">
        <f>IF(M48="■","040206","")</f>
        <v/>
      </c>
    </row>
    <row r="49" spans="1:22" s="126" customFormat="1">
      <c r="A49" s="179"/>
      <c r="B49" s="180"/>
      <c r="C49" s="178"/>
      <c r="D49" s="181"/>
      <c r="E49" s="165"/>
      <c r="F49" s="125"/>
      <c r="G49" s="122"/>
      <c r="H49" s="108"/>
      <c r="I49" s="166"/>
      <c r="J49" s="127"/>
      <c r="K49" s="133"/>
      <c r="L49" s="134"/>
      <c r="N49" s="127"/>
      <c r="O49" s="133"/>
      <c r="P49" s="134"/>
      <c r="Q49" s="123"/>
      <c r="R49" s="479"/>
      <c r="S49" s="108"/>
      <c r="T49" s="146" t="str">
        <f>IF(E49="■","040207","")</f>
        <v/>
      </c>
      <c r="U49" s="143" t="str">
        <f>IF(I49="■","040208","")</f>
        <v/>
      </c>
      <c r="V49" s="160"/>
    </row>
    <row r="50" spans="1:22" s="126" customFormat="1">
      <c r="A50" s="179"/>
      <c r="B50" s="180"/>
      <c r="C50" s="184"/>
      <c r="D50" s="185"/>
      <c r="E50" s="170" t="s">
        <v>638</v>
      </c>
      <c r="F50" s="186">
        <v>99</v>
      </c>
      <c r="G50" s="201" t="s">
        <v>748</v>
      </c>
      <c r="H50" s="187"/>
      <c r="I50" s="188" t="s">
        <v>16</v>
      </c>
      <c r="J50" s="493"/>
      <c r="K50" s="493"/>
      <c r="L50" s="493"/>
      <c r="M50" s="493"/>
      <c r="N50" s="493"/>
      <c r="O50" s="493"/>
      <c r="P50" s="493"/>
      <c r="Q50" s="128" t="s">
        <v>17</v>
      </c>
      <c r="R50" s="129" t="str">
        <f>IF(E50="■","←必須","")</f>
        <v/>
      </c>
      <c r="S50" s="131"/>
      <c r="T50" s="147" t="str">
        <f>IF(E50="■","040299","")</f>
        <v/>
      </c>
      <c r="U50" s="148"/>
      <c r="V50" s="161"/>
    </row>
    <row r="51" spans="1:22" s="126" customFormat="1">
      <c r="A51" s="179"/>
      <c r="B51" s="189"/>
      <c r="C51" s="190">
        <v>13</v>
      </c>
      <c r="D51" s="191" t="s">
        <v>823</v>
      </c>
      <c r="E51" s="165" t="s">
        <v>638</v>
      </c>
      <c r="F51" s="192">
        <v>1</v>
      </c>
      <c r="G51" s="193" t="s">
        <v>824</v>
      </c>
      <c r="H51" s="194"/>
      <c r="I51" s="171" t="s">
        <v>638</v>
      </c>
      <c r="J51" s="195">
        <v>2</v>
      </c>
      <c r="K51" s="210" t="s">
        <v>825</v>
      </c>
      <c r="L51" s="197"/>
      <c r="M51" s="171" t="s">
        <v>638</v>
      </c>
      <c r="N51" s="195">
        <v>3</v>
      </c>
      <c r="O51" s="210" t="s">
        <v>826</v>
      </c>
      <c r="P51" s="197"/>
      <c r="Q51" s="130"/>
      <c r="R51" s="479"/>
      <c r="S51" s="131"/>
      <c r="T51" s="144" t="str">
        <f>IF(E51="■","040201","")</f>
        <v/>
      </c>
      <c r="U51" s="145" t="str">
        <f>IF(I51="■","040202","")</f>
        <v/>
      </c>
      <c r="V51" s="159" t="str">
        <f>IF(M51="■","040203","")</f>
        <v/>
      </c>
    </row>
    <row r="52" spans="1:22" s="126" customFormat="1">
      <c r="A52" s="179"/>
      <c r="B52" s="189"/>
      <c r="C52" s="178"/>
      <c r="D52" s="175"/>
      <c r="E52" s="165" t="s">
        <v>638</v>
      </c>
      <c r="F52" s="125">
        <v>4</v>
      </c>
      <c r="G52" s="198" t="s">
        <v>827</v>
      </c>
      <c r="H52" s="108"/>
      <c r="I52" s="166" t="s">
        <v>638</v>
      </c>
      <c r="J52" s="127">
        <v>5</v>
      </c>
      <c r="K52" s="200" t="s">
        <v>828</v>
      </c>
      <c r="L52" s="134"/>
      <c r="M52" s="166"/>
      <c r="N52" s="127"/>
      <c r="O52" s="486"/>
      <c r="P52" s="487"/>
      <c r="Q52" s="123"/>
      <c r="R52" s="479"/>
      <c r="S52" s="108"/>
      <c r="T52" s="146" t="str">
        <f>IF(E52="■","040204","")</f>
        <v/>
      </c>
      <c r="U52" s="143" t="str">
        <f>IF(I52="■","040205","")</f>
        <v/>
      </c>
      <c r="V52" s="160" t="str">
        <f>IF(M52="■","040206","")</f>
        <v/>
      </c>
    </row>
    <row r="53" spans="1:22" s="126" customFormat="1">
      <c r="A53" s="179"/>
      <c r="B53" s="180"/>
      <c r="C53" s="178"/>
      <c r="D53" s="181"/>
      <c r="E53" s="165"/>
      <c r="F53" s="125"/>
      <c r="G53" s="122"/>
      <c r="H53" s="108"/>
      <c r="I53" s="166"/>
      <c r="J53" s="127"/>
      <c r="K53" s="133"/>
      <c r="L53" s="134"/>
      <c r="N53" s="127"/>
      <c r="O53" s="133"/>
      <c r="P53" s="134"/>
      <c r="Q53" s="123"/>
      <c r="R53" s="479"/>
      <c r="S53" s="108"/>
      <c r="T53" s="146" t="str">
        <f>IF(E53="■","040207","")</f>
        <v/>
      </c>
      <c r="U53" s="143" t="str">
        <f>IF(I53="■","040208","")</f>
        <v/>
      </c>
      <c r="V53" s="160"/>
    </row>
    <row r="54" spans="1:22" s="126" customFormat="1">
      <c r="A54" s="179"/>
      <c r="B54" s="180"/>
      <c r="C54" s="184"/>
      <c r="D54" s="185"/>
      <c r="E54" s="170" t="s">
        <v>638</v>
      </c>
      <c r="F54" s="186">
        <v>99</v>
      </c>
      <c r="G54" s="201" t="s">
        <v>829</v>
      </c>
      <c r="H54" s="187"/>
      <c r="I54" s="188" t="s">
        <v>16</v>
      </c>
      <c r="J54" s="493"/>
      <c r="K54" s="493"/>
      <c r="L54" s="493"/>
      <c r="M54" s="493"/>
      <c r="N54" s="493"/>
      <c r="O54" s="493"/>
      <c r="P54" s="493"/>
      <c r="Q54" s="128" t="s">
        <v>17</v>
      </c>
      <c r="R54" s="129" t="str">
        <f>IF(E54="■","←必須","")</f>
        <v/>
      </c>
      <c r="S54" s="131"/>
      <c r="T54" s="147" t="str">
        <f>IF(E54="■","040299","")</f>
        <v/>
      </c>
      <c r="U54" s="148"/>
      <c r="V54" s="161"/>
    </row>
    <row r="55" spans="1:22" s="126" customFormat="1">
      <c r="A55" s="179"/>
      <c r="B55" s="189"/>
      <c r="C55" s="190">
        <v>14</v>
      </c>
      <c r="D55" s="191" t="s">
        <v>396</v>
      </c>
      <c r="E55" s="168" t="s">
        <v>638</v>
      </c>
      <c r="F55" s="192">
        <v>1</v>
      </c>
      <c r="G55" s="193" t="s">
        <v>749</v>
      </c>
      <c r="H55" s="194"/>
      <c r="I55" s="171" t="s">
        <v>638</v>
      </c>
      <c r="J55" s="195">
        <v>2</v>
      </c>
      <c r="K55" s="210" t="s">
        <v>750</v>
      </c>
      <c r="L55" s="197"/>
      <c r="M55" s="171" t="s">
        <v>638</v>
      </c>
      <c r="N55" s="195">
        <v>3</v>
      </c>
      <c r="O55" s="210" t="s">
        <v>751</v>
      </c>
      <c r="P55" s="197"/>
      <c r="Q55" s="130"/>
      <c r="R55" s="479"/>
      <c r="S55" s="131"/>
      <c r="T55" s="144" t="str">
        <f>IF(E55="■","091401","")</f>
        <v/>
      </c>
      <c r="U55" s="145" t="str">
        <f>IF(I55="■","091402","")</f>
        <v/>
      </c>
      <c r="V55" s="159"/>
    </row>
    <row r="56" spans="1:22" s="126" customFormat="1">
      <c r="A56" s="179"/>
      <c r="B56" s="189"/>
      <c r="C56" s="178"/>
      <c r="D56" s="175"/>
      <c r="E56" s="165" t="s">
        <v>638</v>
      </c>
      <c r="F56" s="125">
        <v>4</v>
      </c>
      <c r="G56" s="198" t="s">
        <v>752</v>
      </c>
      <c r="H56" s="108"/>
      <c r="I56" s="166" t="s">
        <v>638</v>
      </c>
      <c r="J56" s="127">
        <v>5</v>
      </c>
      <c r="K56" s="200" t="s">
        <v>794</v>
      </c>
      <c r="L56" s="134"/>
      <c r="M56" s="166" t="s">
        <v>638</v>
      </c>
      <c r="N56" s="127">
        <v>6</v>
      </c>
      <c r="O56" s="200" t="s">
        <v>795</v>
      </c>
      <c r="P56" s="134"/>
      <c r="Q56" s="123"/>
      <c r="R56" s="479"/>
      <c r="S56" s="125"/>
      <c r="T56" s="146"/>
      <c r="U56" s="143"/>
      <c r="V56" s="160"/>
    </row>
    <row r="57" spans="1:22" s="126" customFormat="1">
      <c r="A57" s="179"/>
      <c r="B57" s="180"/>
      <c r="C57" s="178"/>
      <c r="D57" s="181"/>
      <c r="E57" s="202" t="b">
        <v>0</v>
      </c>
      <c r="F57" s="125"/>
      <c r="G57" s="122"/>
      <c r="H57" s="108"/>
      <c r="I57" s="199" t="b">
        <v>0</v>
      </c>
      <c r="J57" s="127"/>
      <c r="K57" s="133"/>
      <c r="L57" s="134"/>
      <c r="M57" s="183" t="b">
        <v>0</v>
      </c>
      <c r="N57" s="127"/>
      <c r="O57" s="133"/>
      <c r="P57" s="134"/>
      <c r="Q57" s="123"/>
      <c r="R57" s="479"/>
      <c r="S57" s="125"/>
      <c r="T57" s="146"/>
      <c r="U57" s="143"/>
      <c r="V57" s="160"/>
    </row>
    <row r="58" spans="1:22" s="126" customFormat="1" ht="14.25" thickBot="1">
      <c r="A58" s="203"/>
      <c r="B58" s="204"/>
      <c r="C58" s="205"/>
      <c r="D58" s="206"/>
      <c r="E58" s="172" t="s">
        <v>638</v>
      </c>
      <c r="F58" s="207">
        <v>99</v>
      </c>
      <c r="G58" s="211" t="s">
        <v>19</v>
      </c>
      <c r="H58" s="208"/>
      <c r="I58" s="209" t="s">
        <v>16</v>
      </c>
      <c r="J58" s="494"/>
      <c r="K58" s="494"/>
      <c r="L58" s="494"/>
      <c r="M58" s="494"/>
      <c r="N58" s="494"/>
      <c r="O58" s="494"/>
      <c r="P58" s="494"/>
      <c r="Q58" s="132" t="s">
        <v>17</v>
      </c>
      <c r="R58" s="129" t="str">
        <f>IF(E58="■","←必須","")</f>
        <v/>
      </c>
      <c r="S58" s="131"/>
      <c r="T58" s="147" t="str">
        <f>IF(E58="■","091499","")</f>
        <v/>
      </c>
      <c r="U58" s="148"/>
      <c r="V58" s="161"/>
    </row>
    <row r="59" spans="1:22" s="126" customFormat="1">
      <c r="A59" s="125"/>
      <c r="B59" s="122"/>
      <c r="C59" s="108"/>
      <c r="D59" s="122"/>
      <c r="E59" s="108"/>
      <c r="F59" s="125"/>
      <c r="G59" s="122"/>
      <c r="H59" s="108"/>
      <c r="I59" s="108"/>
      <c r="J59" s="127"/>
      <c r="K59" s="133"/>
      <c r="L59" s="134"/>
      <c r="M59" s="134"/>
      <c r="N59" s="127"/>
      <c r="O59" s="133"/>
      <c r="P59" s="134"/>
      <c r="Q59" s="122"/>
      <c r="R59" s="131"/>
      <c r="S59" s="131"/>
      <c r="T59" s="149"/>
      <c r="U59" s="143"/>
      <c r="V59" s="143"/>
    </row>
  </sheetData>
  <sheetProtection selectLockedCells="1"/>
  <mergeCells count="32">
    <mergeCell ref="R39:R40"/>
    <mergeCell ref="J42:P42"/>
    <mergeCell ref="R55:R57"/>
    <mergeCell ref="J58:P58"/>
    <mergeCell ref="R43:R45"/>
    <mergeCell ref="J46:P46"/>
    <mergeCell ref="R47:R49"/>
    <mergeCell ref="O48:P48"/>
    <mergeCell ref="J50:P50"/>
    <mergeCell ref="R51:R53"/>
    <mergeCell ref="O52:P52"/>
    <mergeCell ref="J54:P54"/>
    <mergeCell ref="R31:R33"/>
    <mergeCell ref="J30:P30"/>
    <mergeCell ref="J34:P34"/>
    <mergeCell ref="R35:R37"/>
    <mergeCell ref="J38:P38"/>
    <mergeCell ref="J10:P10"/>
    <mergeCell ref="B3:B4"/>
    <mergeCell ref="R3:R5"/>
    <mergeCell ref="J6:P6"/>
    <mergeCell ref="S6:S7"/>
    <mergeCell ref="R7:R9"/>
    <mergeCell ref="R11:R12"/>
    <mergeCell ref="J14:P14"/>
    <mergeCell ref="R15:R16"/>
    <mergeCell ref="J18:P18"/>
    <mergeCell ref="R27:R28"/>
    <mergeCell ref="R19:R20"/>
    <mergeCell ref="J22:P22"/>
    <mergeCell ref="R23:R24"/>
    <mergeCell ref="J26:P26"/>
  </mergeCells>
  <phoneticPr fontId="2"/>
  <conditionalFormatting sqref="F3:F56">
    <cfRule type="expression" dxfId="48" priority="9" stopIfTrue="1">
      <formula>E3="■"</formula>
    </cfRule>
  </conditionalFormatting>
  <conditionalFormatting sqref="F57 J57 N57">
    <cfRule type="expression" dxfId="47" priority="172" stopIfTrue="1">
      <formula>E57=TRUE</formula>
    </cfRule>
  </conditionalFormatting>
  <conditionalFormatting sqref="F58">
    <cfRule type="expression" dxfId="46" priority="14" stopIfTrue="1">
      <formula>E58="■"</formula>
    </cfRule>
  </conditionalFormatting>
  <conditionalFormatting sqref="I5">
    <cfRule type="expression" dxfId="45" priority="175" stopIfTrue="1">
      <formula>#REF!=TRUE</formula>
    </cfRule>
  </conditionalFormatting>
  <conditionalFormatting sqref="J3:J4 N3:N5 J7:J9 N7:N9 J19:J21 N19:N21 J23:J25 N23:N25 J31:J33 N31:N33 J35:J37 N35:N37 J39:J41 J43:J45 N43:N45">
    <cfRule type="expression" dxfId="44" priority="173" stopIfTrue="1">
      <formula>I3="■"</formula>
    </cfRule>
  </conditionalFormatting>
  <conditionalFormatting sqref="J11:J13 N11:N13">
    <cfRule type="expression" dxfId="43" priority="6" stopIfTrue="1">
      <formula>I11="■"</formula>
    </cfRule>
  </conditionalFormatting>
  <conditionalFormatting sqref="J15:J17 N15:N17">
    <cfRule type="expression" dxfId="42" priority="4" stopIfTrue="1">
      <formula>I15="■"</formula>
    </cfRule>
  </conditionalFormatting>
  <conditionalFormatting sqref="J27:J29 N27:N29">
    <cfRule type="expression" dxfId="41" priority="3" stopIfTrue="1">
      <formula>I27="■"</formula>
    </cfRule>
  </conditionalFormatting>
  <conditionalFormatting sqref="J47:J49">
    <cfRule type="expression" dxfId="40" priority="118" stopIfTrue="1">
      <formula>I47="■"</formula>
    </cfRule>
  </conditionalFormatting>
  <conditionalFormatting sqref="J51:J53">
    <cfRule type="expression" dxfId="39" priority="2" stopIfTrue="1">
      <formula>I51="■"</formula>
    </cfRule>
  </conditionalFormatting>
  <conditionalFormatting sqref="J55:J56">
    <cfRule type="expression" dxfId="38" priority="8" stopIfTrue="1">
      <formula>I55="■"</formula>
    </cfRule>
  </conditionalFormatting>
  <conditionalFormatting sqref="J6:P6">
    <cfRule type="cellIs" dxfId="37" priority="13" stopIfTrue="1" operator="notEqual">
      <formula>""</formula>
    </cfRule>
  </conditionalFormatting>
  <conditionalFormatting sqref="J10:P10">
    <cfRule type="cellIs" dxfId="36" priority="146" stopIfTrue="1" operator="notEqual">
      <formula>""</formula>
    </cfRule>
  </conditionalFormatting>
  <conditionalFormatting sqref="J14:P14 J18:P18">
    <cfRule type="cellIs" dxfId="35" priority="5" stopIfTrue="1" operator="notEqual">
      <formula>""</formula>
    </cfRule>
  </conditionalFormatting>
  <conditionalFormatting sqref="J22:P22">
    <cfRule type="cellIs" dxfId="34" priority="145" stopIfTrue="1" operator="notEqual">
      <formula>""</formula>
    </cfRule>
  </conditionalFormatting>
  <conditionalFormatting sqref="J26:P26 J30:P30">
    <cfRule type="cellIs" dxfId="33" priority="144" stopIfTrue="1" operator="notEqual">
      <formula>""</formula>
    </cfRule>
  </conditionalFormatting>
  <conditionalFormatting sqref="J34:P34">
    <cfRule type="cellIs" dxfId="32" priority="174" stopIfTrue="1" operator="notEqual">
      <formula>""</formula>
    </cfRule>
  </conditionalFormatting>
  <conditionalFormatting sqref="J38:P38">
    <cfRule type="cellIs" dxfId="31" priority="143" stopIfTrue="1" operator="notEqual">
      <formula>""</formula>
    </cfRule>
  </conditionalFormatting>
  <conditionalFormatting sqref="J42:P42">
    <cfRule type="cellIs" dxfId="30" priority="142" stopIfTrue="1" operator="notEqual">
      <formula>""</formula>
    </cfRule>
  </conditionalFormatting>
  <conditionalFormatting sqref="J46:P46">
    <cfRule type="cellIs" dxfId="29" priority="141" stopIfTrue="1" operator="notEqual">
      <formula>""</formula>
    </cfRule>
  </conditionalFormatting>
  <conditionalFormatting sqref="J50:P50 J54:P54">
    <cfRule type="cellIs" dxfId="28" priority="139" stopIfTrue="1" operator="notEqual">
      <formula>""</formula>
    </cfRule>
  </conditionalFormatting>
  <conditionalFormatting sqref="J58:P58">
    <cfRule type="cellIs" dxfId="27" priority="147" stopIfTrue="1" operator="notEqual">
      <formula>""</formula>
    </cfRule>
  </conditionalFormatting>
  <conditionalFormatting sqref="N39:N41">
    <cfRule type="expression" dxfId="26" priority="11" stopIfTrue="1">
      <formula>M39="■"</formula>
    </cfRule>
  </conditionalFormatting>
  <conditionalFormatting sqref="N47:N49">
    <cfRule type="expression" dxfId="25" priority="106" stopIfTrue="1">
      <formula>M47="■"</formula>
    </cfRule>
  </conditionalFormatting>
  <conditionalFormatting sqref="N51:N53">
    <cfRule type="expression" dxfId="24" priority="1" stopIfTrue="1">
      <formula>M51="■"</formula>
    </cfRule>
  </conditionalFormatting>
  <conditionalFormatting sqref="N55:N56">
    <cfRule type="expression" dxfId="23" priority="7" stopIfTrue="1">
      <formula>M55="■"</formula>
    </cfRule>
  </conditionalFormatting>
  <dataValidations count="2">
    <dataValidation imeMode="on" allowBlank="1" showInputMessage="1" showErrorMessage="1" sqref="J6:P6 J18:P18 J22:P22 J34:P34 J38:P38 J46:P46 J42:P42 J30:P30 J58:P58 J10:P10 J14:P14 J26:P26 J50:P50 J54:P54" xr:uid="{33E195EE-BBE0-4CE0-965A-09BA2868D4B4}"/>
    <dataValidation type="list" allowBlank="1" showInputMessage="1" showErrorMessage="1" sqref="E3:E4 I55:I56 E58 I47:I49 M47:M48 I39 I35:I36 M35:M36 M23:M25 I23:I25 M3:M4 M7:M8 I7:I8 I3:I4 M55:M56 I19:I21 M19:M21 M31:M33 I31:I33 M39:M41 I43:I45 M43:M45 I27:I29 M11:M13 I11:I13 I15:I17 M15:M17 E6:E36 M27:M29 E38:E56 I51:I53 M51:M52" xr:uid="{A7356FE7-9666-4861-9379-719D2A4BD90C}">
      <formula1>$W$1:$W$2</formula1>
    </dataValidation>
  </dataValidations>
  <pageMargins left="0.51181102362204722" right="0.31496062992125984" top="0.70866141732283472" bottom="0.39370078740157483" header="0.31496062992125984" footer="0.51181102362204722"/>
  <pageSetup paperSize="9" scale="86" fitToWidth="0" fitToHeight="3" orientation="portrait" useFirstPageNumber="1" r:id="rId1"/>
  <headerFooter alignWithMargins="0">
    <oddHeader>&amp;L&amp;12第１号様式　別紙４&amp;C&amp;12営　業　種　目　表&amp;R&amp;P/3</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282CE-8E2B-4657-9C5C-886B797DF7F4}">
  <dimension ref="A1:W7"/>
  <sheetViews>
    <sheetView showGridLines="0" view="pageBreakPreview" zoomScaleNormal="100" zoomScaleSheetLayoutView="100" workbookViewId="0">
      <selection activeCell="A10" sqref="A10:AC13"/>
    </sheetView>
  </sheetViews>
  <sheetFormatPr defaultColWidth="9" defaultRowHeight="13.5"/>
  <cols>
    <col min="1" max="1" width="2.75" style="125" customWidth="1"/>
    <col min="2" max="2" width="13.875" style="122" customWidth="1"/>
    <col min="3" max="3" width="2.875" style="108" customWidth="1"/>
    <col min="4" max="4" width="16.875" style="122" customWidth="1"/>
    <col min="5" max="5" width="2.75" style="108" customWidth="1"/>
    <col min="6" max="6" width="2.875" style="125" customWidth="1"/>
    <col min="7" max="7" width="16.125" style="122" customWidth="1"/>
    <col min="8" max="8" width="1.375" style="108" customWidth="1"/>
    <col min="9" max="9" width="2.875" style="108" customWidth="1"/>
    <col min="10" max="10" width="3" style="127" customWidth="1"/>
    <col min="11" max="11" width="16.125" style="133" customWidth="1"/>
    <col min="12" max="12" width="1.375" style="134" customWidth="1"/>
    <col min="13" max="13" width="2.875" style="134" customWidth="1"/>
    <col min="14" max="14" width="3" style="127" customWidth="1"/>
    <col min="15" max="15" width="16.125" style="133" customWidth="1"/>
    <col min="16" max="16" width="1.25" style="134" customWidth="1"/>
    <col min="17" max="17" width="1.25" style="122" customWidth="1"/>
    <col min="18" max="19" width="6.625" style="125" customWidth="1"/>
    <col min="20" max="20" width="7.25" style="149" customWidth="1"/>
    <col min="21" max="22" width="7.25" style="143" customWidth="1"/>
    <col min="23" max="23" width="0" style="126" hidden="1" customWidth="1"/>
    <col min="24" max="16384" width="9" style="108"/>
  </cols>
  <sheetData>
    <row r="1" spans="1:23">
      <c r="A1" s="97" t="s">
        <v>179</v>
      </c>
      <c r="B1" s="98"/>
      <c r="C1" s="99" t="s">
        <v>186</v>
      </c>
      <c r="D1" s="98"/>
      <c r="E1" s="100"/>
      <c r="F1" s="101"/>
      <c r="G1" s="102"/>
      <c r="H1" s="100"/>
      <c r="I1" s="100"/>
      <c r="J1" s="103"/>
      <c r="K1" s="104"/>
      <c r="L1" s="105"/>
      <c r="M1" s="105"/>
      <c r="N1" s="103"/>
      <c r="O1" s="104"/>
      <c r="P1" s="105"/>
      <c r="Q1" s="106"/>
      <c r="R1" s="107"/>
      <c r="S1" s="108"/>
      <c r="T1" s="143"/>
      <c r="W1" s="109" t="s">
        <v>636</v>
      </c>
    </row>
    <row r="2" spans="1:23" ht="24.75" customHeight="1" thickBot="1">
      <c r="A2" s="110" t="s">
        <v>508</v>
      </c>
      <c r="B2" s="111" t="s">
        <v>15</v>
      </c>
      <c r="C2" s="112" t="s">
        <v>508</v>
      </c>
      <c r="D2" s="113" t="s">
        <v>15</v>
      </c>
      <c r="E2" s="162" t="s">
        <v>754</v>
      </c>
      <c r="F2" s="115"/>
      <c r="G2" s="116"/>
      <c r="H2" s="114"/>
      <c r="I2" s="114"/>
      <c r="J2" s="117"/>
      <c r="K2" s="118"/>
      <c r="L2" s="119"/>
      <c r="M2" s="119"/>
      <c r="N2" s="117"/>
      <c r="O2" s="118"/>
      <c r="P2" s="119"/>
      <c r="Q2" s="120"/>
      <c r="R2" s="121"/>
      <c r="S2" s="108"/>
      <c r="T2" s="139" t="s">
        <v>613</v>
      </c>
      <c r="W2" s="109" t="s">
        <v>637</v>
      </c>
    </row>
    <row r="3" spans="1:23" ht="13.5" customHeight="1">
      <c r="A3" s="173">
        <v>11</v>
      </c>
      <c r="B3" s="480" t="s">
        <v>753</v>
      </c>
      <c r="C3" s="174">
        <v>1</v>
      </c>
      <c r="D3" s="175" t="s">
        <v>758</v>
      </c>
      <c r="E3" s="165" t="s">
        <v>638</v>
      </c>
      <c r="F3" s="176">
        <v>1</v>
      </c>
      <c r="G3" s="198" t="s">
        <v>755</v>
      </c>
      <c r="I3" s="169" t="s">
        <v>638</v>
      </c>
      <c r="J3" s="127">
        <v>2</v>
      </c>
      <c r="K3" s="200" t="s">
        <v>756</v>
      </c>
      <c r="M3" s="169" t="s">
        <v>638</v>
      </c>
      <c r="N3" s="127">
        <v>3</v>
      </c>
      <c r="O3" s="200" t="s">
        <v>757</v>
      </c>
      <c r="Q3" s="123"/>
      <c r="R3" s="479"/>
      <c r="S3" s="124"/>
      <c r="T3" s="144" t="str">
        <f>IF(E3="■","010101","")</f>
        <v/>
      </c>
      <c r="U3" s="145" t="str">
        <f>IF(I3="■","010102","")</f>
        <v/>
      </c>
      <c r="V3" s="159" t="str">
        <f>IF(M3="■","010103","")</f>
        <v/>
      </c>
      <c r="W3" s="107"/>
    </row>
    <row r="4" spans="1:23">
      <c r="A4" s="177"/>
      <c r="B4" s="480"/>
      <c r="C4" s="178"/>
      <c r="D4" s="175"/>
      <c r="E4" s="165" t="s">
        <v>638</v>
      </c>
      <c r="F4" s="125">
        <v>4</v>
      </c>
      <c r="G4" s="198" t="s">
        <v>240</v>
      </c>
      <c r="I4" s="166"/>
      <c r="K4" s="200"/>
      <c r="M4" s="166"/>
      <c r="Q4" s="123"/>
      <c r="R4" s="479"/>
      <c r="T4" s="146" t="str">
        <f>IF(E4="■","010104","")</f>
        <v/>
      </c>
      <c r="U4" s="143" t="str">
        <f>IF(I4="■","010105","")</f>
        <v/>
      </c>
      <c r="V4" s="160"/>
    </row>
    <row r="5" spans="1:23">
      <c r="A5" s="179"/>
      <c r="B5" s="180"/>
      <c r="C5" s="178"/>
      <c r="D5" s="181"/>
      <c r="E5" s="167"/>
      <c r="I5" s="182"/>
      <c r="M5" s="183"/>
      <c r="Q5" s="123"/>
      <c r="R5" s="479"/>
      <c r="T5" s="146"/>
      <c r="V5" s="160"/>
    </row>
    <row r="6" spans="1:23" s="126" customFormat="1" ht="14.25" thickBot="1">
      <c r="A6" s="203"/>
      <c r="B6" s="204"/>
      <c r="C6" s="205"/>
      <c r="D6" s="206"/>
      <c r="E6" s="172" t="s">
        <v>638</v>
      </c>
      <c r="F6" s="207">
        <v>99</v>
      </c>
      <c r="G6" s="164" t="s">
        <v>396</v>
      </c>
      <c r="H6" s="208"/>
      <c r="I6" s="209" t="s">
        <v>16</v>
      </c>
      <c r="J6" s="494"/>
      <c r="K6" s="494"/>
      <c r="L6" s="494"/>
      <c r="M6" s="494"/>
      <c r="N6" s="494"/>
      <c r="O6" s="494"/>
      <c r="P6" s="494"/>
      <c r="Q6" s="132" t="s">
        <v>17</v>
      </c>
      <c r="R6" s="129" t="str">
        <f>IF(E6="■","←必須","")</f>
        <v/>
      </c>
      <c r="S6" s="131"/>
      <c r="T6" s="147" t="str">
        <f>IF(E6="■","091499","")</f>
        <v/>
      </c>
      <c r="U6" s="148"/>
      <c r="V6" s="161"/>
    </row>
    <row r="7" spans="1:23" s="126" customFormat="1">
      <c r="A7" s="125"/>
      <c r="B7" s="122"/>
      <c r="C7" s="108"/>
      <c r="D7" s="122"/>
      <c r="E7" s="108"/>
      <c r="F7" s="125"/>
      <c r="G7" s="122"/>
      <c r="H7" s="108"/>
      <c r="I7" s="108"/>
      <c r="J7" s="127"/>
      <c r="K7" s="133"/>
      <c r="L7" s="134"/>
      <c r="M7" s="134"/>
      <c r="N7" s="127"/>
      <c r="O7" s="133"/>
      <c r="P7" s="134"/>
      <c r="Q7" s="122"/>
      <c r="R7" s="131"/>
      <c r="S7" s="131"/>
      <c r="T7" s="149"/>
      <c r="U7" s="143"/>
      <c r="V7" s="143"/>
    </row>
  </sheetData>
  <sheetProtection selectLockedCells="1"/>
  <mergeCells count="3">
    <mergeCell ref="J6:P6"/>
    <mergeCell ref="B3:B4"/>
    <mergeCell ref="R3:R5"/>
  </mergeCells>
  <phoneticPr fontId="2"/>
  <conditionalFormatting sqref="F3:F6">
    <cfRule type="expression" dxfId="22" priority="5" stopIfTrue="1">
      <formula>E3="■"</formula>
    </cfRule>
  </conditionalFormatting>
  <conditionalFormatting sqref="I5">
    <cfRule type="expression" dxfId="21" priority="23" stopIfTrue="1">
      <formula>#REF!=TRUE</formula>
    </cfRule>
  </conditionalFormatting>
  <conditionalFormatting sqref="J3:J4 N3:N5">
    <cfRule type="expression" dxfId="20" priority="21" stopIfTrue="1">
      <formula>I3="■"</formula>
    </cfRule>
  </conditionalFormatting>
  <conditionalFormatting sqref="J6:P6">
    <cfRule type="cellIs" dxfId="19" priority="19" stopIfTrue="1" operator="notEqual">
      <formula>""</formula>
    </cfRule>
  </conditionalFormatting>
  <dataValidations count="2">
    <dataValidation type="list" allowBlank="1" showInputMessage="1" showErrorMessage="1" sqref="E3:E4 E6 M3:M4 I3:I4" xr:uid="{306DE422-3A62-4D82-99BC-020D82D06947}">
      <formula1>$W$1:$W$2</formula1>
    </dataValidation>
    <dataValidation imeMode="on" allowBlank="1" showInputMessage="1" showErrorMessage="1" sqref="J6:P6" xr:uid="{66F2EB17-BA59-42C1-9E99-E58FEB2B3514}"/>
  </dataValidations>
  <pageMargins left="0.51181102362204722" right="0.31496062992125984" top="0.70866141732283472" bottom="0.39370078740157483" header="0.31496062992125984" footer="0.51181102362204722"/>
  <pageSetup paperSize="9" scale="86" fitToWidth="0" fitToHeight="3" orientation="portrait" useFirstPageNumber="1" r:id="rId1"/>
  <headerFooter alignWithMargins="0">
    <oddHeader>&amp;L&amp;12第１号様式　別紙４&amp;C&amp;12営　業　種　目　表&amp;R&amp;P/3</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02E23-8049-4CDE-A065-7701688D18D7}">
  <dimension ref="A1:AL14"/>
  <sheetViews>
    <sheetView showGridLines="0" showZeros="0" zoomScaleNormal="100" workbookViewId="0">
      <selection activeCell="O17" sqref="O17"/>
    </sheetView>
  </sheetViews>
  <sheetFormatPr defaultColWidth="2.75" defaultRowHeight="13.5"/>
  <cols>
    <col min="1" max="6" width="2.75" style="154" customWidth="1"/>
    <col min="7" max="7" width="3.75" style="154" customWidth="1"/>
    <col min="8" max="31" width="2.75" style="154" customWidth="1"/>
    <col min="32" max="32" width="0.5" style="154" customWidth="1"/>
    <col min="33" max="33" width="2" style="154" customWidth="1"/>
    <col min="34" max="38" width="2.5" style="154" hidden="1" customWidth="1"/>
    <col min="39" max="41" width="2.5" style="154" customWidth="1"/>
    <col min="42" max="16384" width="2.75" style="154"/>
  </cols>
  <sheetData>
    <row r="1" spans="1:37">
      <c r="A1" s="151" t="s">
        <v>632</v>
      </c>
      <c r="B1" s="152"/>
      <c r="C1" s="152"/>
      <c r="D1" s="152"/>
      <c r="E1" s="152"/>
      <c r="F1" s="152"/>
      <c r="G1" s="152"/>
      <c r="H1" s="153"/>
      <c r="I1" s="152"/>
      <c r="J1" s="152"/>
      <c r="K1" s="152"/>
      <c r="L1" s="152"/>
      <c r="M1" s="152"/>
      <c r="N1" s="152"/>
      <c r="O1" s="152"/>
      <c r="P1" s="152"/>
      <c r="Q1" s="152" t="str">
        <f>IF(第１号様式!$H$21="","",第１号様式!$H$21)</f>
        <v/>
      </c>
      <c r="R1" s="152"/>
      <c r="S1" s="152"/>
      <c r="T1" s="152"/>
      <c r="U1" s="152"/>
      <c r="V1" s="152"/>
      <c r="W1" s="152"/>
      <c r="X1" s="152"/>
      <c r="Y1" s="152"/>
      <c r="Z1" s="152"/>
      <c r="AA1" s="152"/>
      <c r="AB1" s="152"/>
      <c r="AC1" s="152"/>
      <c r="AD1" s="152"/>
      <c r="AE1" s="152"/>
    </row>
    <row r="2" spans="1:37" ht="14.25" thickBot="1">
      <c r="A2" s="151"/>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I2" s="154" t="s">
        <v>614</v>
      </c>
      <c r="AJ2" s="154" t="s">
        <v>159</v>
      </c>
      <c r="AK2" s="154" t="s">
        <v>160</v>
      </c>
    </row>
    <row r="3" spans="1:37">
      <c r="A3" s="495" t="s">
        <v>615</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155"/>
      <c r="AD3" s="155"/>
      <c r="AE3" s="156"/>
      <c r="AI3" s="154" t="s">
        <v>616</v>
      </c>
      <c r="AJ3" s="154" t="s">
        <v>160</v>
      </c>
      <c r="AK3" s="154" t="s">
        <v>159</v>
      </c>
    </row>
    <row r="4" spans="1:37">
      <c r="A4" s="497"/>
      <c r="B4" s="498"/>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157"/>
      <c r="AD4" s="157"/>
      <c r="AE4" s="158"/>
      <c r="AI4" s="154" t="s">
        <v>617</v>
      </c>
      <c r="AJ4" s="154" t="s">
        <v>159</v>
      </c>
      <c r="AK4" s="154" t="s">
        <v>160</v>
      </c>
    </row>
    <row r="5" spans="1:37" ht="20.100000000000001" customHeight="1">
      <c r="A5" s="499" t="s">
        <v>618</v>
      </c>
      <c r="B5" s="502"/>
      <c r="C5" s="503"/>
      <c r="D5" s="503"/>
      <c r="E5" s="503"/>
      <c r="F5" s="503"/>
      <c r="G5" s="504"/>
      <c r="H5" s="505" t="str">
        <f>IF(B5="","",VLOOKUP(B5,$AI$2:$AK$3,2,FALSE))</f>
        <v/>
      </c>
      <c r="I5" s="506"/>
      <c r="J5" s="506"/>
      <c r="K5" s="507"/>
      <c r="L5" s="505" t="str">
        <f>IF(B5="","",VLOOKUP(B5,$AI$2:$AK$3,3,FALSE))</f>
        <v/>
      </c>
      <c r="M5" s="506"/>
      <c r="N5" s="506"/>
      <c r="O5" s="507"/>
      <c r="P5" s="508" t="s">
        <v>689</v>
      </c>
      <c r="Q5" s="509"/>
      <c r="R5" s="509"/>
      <c r="S5" s="509"/>
      <c r="T5" s="509"/>
      <c r="U5" s="509"/>
      <c r="V5" s="509"/>
      <c r="W5" s="509"/>
      <c r="X5" s="509"/>
      <c r="Y5" s="509"/>
      <c r="Z5" s="509"/>
      <c r="AA5" s="509"/>
      <c r="AB5" s="509"/>
      <c r="AC5" s="509"/>
      <c r="AD5" s="509"/>
      <c r="AE5" s="510"/>
      <c r="AI5" s="154" t="s">
        <v>619</v>
      </c>
      <c r="AJ5" s="154" t="s">
        <v>160</v>
      </c>
      <c r="AK5" s="154" t="s">
        <v>159</v>
      </c>
    </row>
    <row r="6" spans="1:37" ht="14.25" customHeight="1">
      <c r="A6" s="500"/>
      <c r="B6" s="514" t="s">
        <v>620</v>
      </c>
      <c r="C6" s="515"/>
      <c r="D6" s="515"/>
      <c r="E6" s="515"/>
      <c r="F6" s="515"/>
      <c r="G6" s="516"/>
      <c r="H6" s="226"/>
      <c r="I6" s="227"/>
      <c r="J6" s="227"/>
      <c r="K6" s="228"/>
      <c r="L6" s="226"/>
      <c r="M6" s="227"/>
      <c r="N6" s="227"/>
      <c r="O6" s="228"/>
      <c r="P6" s="511"/>
      <c r="Q6" s="512"/>
      <c r="R6" s="512"/>
      <c r="S6" s="512"/>
      <c r="T6" s="512"/>
      <c r="U6" s="512"/>
      <c r="V6" s="512"/>
      <c r="W6" s="512"/>
      <c r="X6" s="512"/>
      <c r="Y6" s="512"/>
      <c r="Z6" s="512"/>
      <c r="AA6" s="512"/>
      <c r="AB6" s="512"/>
      <c r="AC6" s="512"/>
      <c r="AD6" s="512"/>
      <c r="AE6" s="513"/>
    </row>
    <row r="7" spans="1:37" ht="60" customHeight="1">
      <c r="A7" s="501"/>
      <c r="B7" s="517"/>
      <c r="C7" s="518"/>
      <c r="D7" s="518"/>
      <c r="E7" s="518"/>
      <c r="F7" s="518"/>
      <c r="G7" s="519"/>
      <c r="H7" s="520" t="s">
        <v>690</v>
      </c>
      <c r="I7" s="521"/>
      <c r="J7" s="521"/>
      <c r="K7" s="522"/>
      <c r="L7" s="520" t="s">
        <v>691</v>
      </c>
      <c r="M7" s="521"/>
      <c r="N7" s="521"/>
      <c r="O7" s="522"/>
      <c r="P7" s="523"/>
      <c r="Q7" s="524"/>
      <c r="R7" s="524"/>
      <c r="S7" s="524"/>
      <c r="T7" s="524"/>
      <c r="U7" s="524"/>
      <c r="V7" s="524"/>
      <c r="W7" s="524"/>
      <c r="X7" s="524"/>
      <c r="Y7" s="524"/>
      <c r="Z7" s="524"/>
      <c r="AA7" s="524"/>
      <c r="AB7" s="524"/>
      <c r="AC7" s="524"/>
      <c r="AD7" s="524"/>
      <c r="AE7" s="525"/>
      <c r="AI7" s="154" t="s">
        <v>621</v>
      </c>
      <c r="AJ7" s="154" t="s">
        <v>159</v>
      </c>
      <c r="AK7" s="154" t="s">
        <v>160</v>
      </c>
    </row>
    <row r="8" spans="1:37" ht="20.100000000000001" customHeight="1">
      <c r="A8" s="499" t="s">
        <v>622</v>
      </c>
      <c r="B8" s="502"/>
      <c r="C8" s="503"/>
      <c r="D8" s="503"/>
      <c r="E8" s="503"/>
      <c r="F8" s="503"/>
      <c r="G8" s="504"/>
      <c r="H8" s="505" t="str">
        <f>IF(B8="","",VLOOKUP(B8,$AI$2:$AK$3,2,FALSE))</f>
        <v/>
      </c>
      <c r="I8" s="506"/>
      <c r="J8" s="506"/>
      <c r="K8" s="507"/>
      <c r="L8" s="505" t="str">
        <f>IF(B8="","",VLOOKUP(B8,$AI$2:$AK$3,3,FALSE))</f>
        <v/>
      </c>
      <c r="M8" s="506"/>
      <c r="N8" s="506"/>
      <c r="O8" s="507"/>
      <c r="P8" s="508" t="s">
        <v>692</v>
      </c>
      <c r="Q8" s="526"/>
      <c r="R8" s="526"/>
      <c r="S8" s="526"/>
      <c r="T8" s="526"/>
      <c r="U8" s="526"/>
      <c r="V8" s="526"/>
      <c r="W8" s="526"/>
      <c r="X8" s="526"/>
      <c r="Y8" s="526"/>
      <c r="Z8" s="526"/>
      <c r="AA8" s="526"/>
      <c r="AB8" s="526"/>
      <c r="AC8" s="526"/>
      <c r="AD8" s="526"/>
      <c r="AE8" s="527"/>
      <c r="AI8" s="154" t="s">
        <v>623</v>
      </c>
      <c r="AJ8" s="154" t="s">
        <v>160</v>
      </c>
      <c r="AK8" s="154" t="s">
        <v>159</v>
      </c>
    </row>
    <row r="9" spans="1:37" ht="14.25" customHeight="1">
      <c r="A9" s="500"/>
      <c r="B9" s="514" t="s">
        <v>624</v>
      </c>
      <c r="C9" s="515"/>
      <c r="D9" s="515"/>
      <c r="E9" s="515"/>
      <c r="F9" s="515"/>
      <c r="G9" s="516"/>
      <c r="H9" s="226"/>
      <c r="I9" s="227"/>
      <c r="J9" s="227"/>
      <c r="K9" s="228"/>
      <c r="L9" s="226"/>
      <c r="M9" s="227"/>
      <c r="N9" s="227"/>
      <c r="O9" s="228"/>
      <c r="P9" s="528"/>
      <c r="Q9" s="529"/>
      <c r="R9" s="529"/>
      <c r="S9" s="529"/>
      <c r="T9" s="529"/>
      <c r="U9" s="529"/>
      <c r="V9" s="529"/>
      <c r="W9" s="529"/>
      <c r="X9" s="529"/>
      <c r="Y9" s="529"/>
      <c r="Z9" s="529"/>
      <c r="AA9" s="529"/>
      <c r="AB9" s="529"/>
      <c r="AC9" s="529"/>
      <c r="AD9" s="529"/>
      <c r="AE9" s="530"/>
    </row>
    <row r="10" spans="1:37" ht="60" customHeight="1">
      <c r="A10" s="501"/>
      <c r="B10" s="517"/>
      <c r="C10" s="518"/>
      <c r="D10" s="518"/>
      <c r="E10" s="518"/>
      <c r="F10" s="518"/>
      <c r="G10" s="519"/>
      <c r="H10" s="520" t="s">
        <v>690</v>
      </c>
      <c r="I10" s="521"/>
      <c r="J10" s="521"/>
      <c r="K10" s="522"/>
      <c r="L10" s="520" t="s">
        <v>691</v>
      </c>
      <c r="M10" s="521"/>
      <c r="N10" s="521"/>
      <c r="O10" s="522"/>
      <c r="P10" s="523"/>
      <c r="Q10" s="524"/>
      <c r="R10" s="524"/>
      <c r="S10" s="524"/>
      <c r="T10" s="524"/>
      <c r="U10" s="524"/>
      <c r="V10" s="524"/>
      <c r="W10" s="524"/>
      <c r="X10" s="524"/>
      <c r="Y10" s="524"/>
      <c r="Z10" s="524"/>
      <c r="AA10" s="524"/>
      <c r="AB10" s="524"/>
      <c r="AC10" s="524"/>
      <c r="AD10" s="524"/>
      <c r="AE10" s="525"/>
      <c r="AI10" s="154" t="s">
        <v>625</v>
      </c>
      <c r="AJ10" s="154" t="s">
        <v>626</v>
      </c>
      <c r="AK10" s="154" t="s">
        <v>160</v>
      </c>
    </row>
    <row r="11" spans="1:37" ht="20.100000000000001" customHeight="1">
      <c r="A11" s="499" t="s">
        <v>627</v>
      </c>
      <c r="B11" s="502"/>
      <c r="C11" s="503"/>
      <c r="D11" s="503"/>
      <c r="E11" s="503"/>
      <c r="F11" s="503"/>
      <c r="G11" s="504"/>
      <c r="H11" s="505" t="str">
        <f>IF(B11="","",VLOOKUP(B11,$AI$4:$AK$5,2,FALSE))</f>
        <v/>
      </c>
      <c r="I11" s="506"/>
      <c r="J11" s="506"/>
      <c r="K11" s="507"/>
      <c r="L11" s="505" t="str">
        <f>IF(B11="","",VLOOKUP(B11,$AI$4:$AK$5,3,FALSE))</f>
        <v/>
      </c>
      <c r="M11" s="506"/>
      <c r="N11" s="506"/>
      <c r="O11" s="507"/>
      <c r="P11" s="532"/>
      <c r="Q11" s="533"/>
      <c r="R11" s="533"/>
      <c r="S11" s="533"/>
      <c r="T11" s="533"/>
      <c r="U11" s="533"/>
      <c r="V11" s="533"/>
      <c r="W11" s="533"/>
      <c r="X11" s="533"/>
      <c r="Y11" s="533"/>
      <c r="Z11" s="533"/>
      <c r="AA11" s="533"/>
      <c r="AB11" s="533"/>
      <c r="AC11" s="533"/>
      <c r="AD11" s="533"/>
      <c r="AE11" s="534"/>
      <c r="AI11" s="154" t="s">
        <v>628</v>
      </c>
      <c r="AJ11" s="154" t="s">
        <v>160</v>
      </c>
      <c r="AK11" s="154" t="s">
        <v>626</v>
      </c>
    </row>
    <row r="12" spans="1:37" ht="60" customHeight="1">
      <c r="A12" s="531"/>
      <c r="B12" s="538" t="s">
        <v>629</v>
      </c>
      <c r="C12" s="539"/>
      <c r="D12" s="539"/>
      <c r="E12" s="539"/>
      <c r="F12" s="539"/>
      <c r="G12" s="540"/>
      <c r="H12" s="520" t="s">
        <v>693</v>
      </c>
      <c r="I12" s="521"/>
      <c r="J12" s="521"/>
      <c r="K12" s="522"/>
      <c r="L12" s="520" t="s">
        <v>694</v>
      </c>
      <c r="M12" s="521"/>
      <c r="N12" s="521"/>
      <c r="O12" s="522"/>
      <c r="P12" s="535"/>
      <c r="Q12" s="536"/>
      <c r="R12" s="536"/>
      <c r="S12" s="536"/>
      <c r="T12" s="536"/>
      <c r="U12" s="536"/>
      <c r="V12" s="536"/>
      <c r="W12" s="536"/>
      <c r="X12" s="536"/>
      <c r="Y12" s="536"/>
      <c r="Z12" s="536"/>
      <c r="AA12" s="536"/>
      <c r="AB12" s="536"/>
      <c r="AC12" s="536"/>
      <c r="AD12" s="536"/>
      <c r="AE12" s="537"/>
    </row>
    <row r="13" spans="1:37" ht="19.5" customHeight="1">
      <c r="A13" s="499" t="s">
        <v>630</v>
      </c>
      <c r="B13" s="502"/>
      <c r="C13" s="503"/>
      <c r="D13" s="503"/>
      <c r="E13" s="503"/>
      <c r="F13" s="503"/>
      <c r="G13" s="504"/>
      <c r="H13" s="505" t="str">
        <f>IF(B13="","",VLOOKUP(B13,AI7:AK8,2,FALSE))</f>
        <v/>
      </c>
      <c r="I13" s="506"/>
      <c r="J13" s="506"/>
      <c r="K13" s="507"/>
      <c r="L13" s="505" t="str">
        <f>IF(B13="","",VLOOKUP(B13,AI7:AK8,3,FALSE))</f>
        <v/>
      </c>
      <c r="M13" s="506"/>
      <c r="N13" s="506"/>
      <c r="O13" s="507"/>
      <c r="P13" s="532"/>
      <c r="Q13" s="533"/>
      <c r="R13" s="533"/>
      <c r="S13" s="533"/>
      <c r="T13" s="533"/>
      <c r="U13" s="533"/>
      <c r="V13" s="533"/>
      <c r="W13" s="533"/>
      <c r="X13" s="533"/>
      <c r="Y13" s="533"/>
      <c r="Z13" s="533"/>
      <c r="AA13" s="533"/>
      <c r="AB13" s="533"/>
      <c r="AC13" s="533"/>
      <c r="AD13" s="533"/>
      <c r="AE13" s="534"/>
    </row>
    <row r="14" spans="1:37" ht="60" customHeight="1" thickBot="1">
      <c r="A14" s="541"/>
      <c r="B14" s="545" t="s">
        <v>631</v>
      </c>
      <c r="C14" s="546"/>
      <c r="D14" s="546"/>
      <c r="E14" s="546"/>
      <c r="F14" s="546"/>
      <c r="G14" s="547"/>
      <c r="H14" s="548" t="s">
        <v>695</v>
      </c>
      <c r="I14" s="549"/>
      <c r="J14" s="549"/>
      <c r="K14" s="550"/>
      <c r="L14" s="548" t="s">
        <v>696</v>
      </c>
      <c r="M14" s="549"/>
      <c r="N14" s="549"/>
      <c r="O14" s="550"/>
      <c r="P14" s="542"/>
      <c r="Q14" s="543"/>
      <c r="R14" s="543"/>
      <c r="S14" s="543"/>
      <c r="T14" s="543"/>
      <c r="U14" s="543"/>
      <c r="V14" s="543"/>
      <c r="W14" s="543"/>
      <c r="X14" s="543"/>
      <c r="Y14" s="543"/>
      <c r="Z14" s="543"/>
      <c r="AA14" s="543"/>
      <c r="AB14" s="543"/>
      <c r="AC14" s="543"/>
      <c r="AD14" s="543"/>
      <c r="AE14" s="544"/>
    </row>
  </sheetData>
  <sheetProtection selectLockedCells="1"/>
  <mergeCells count="35">
    <mergeCell ref="A13:A14"/>
    <mergeCell ref="B13:G13"/>
    <mergeCell ref="H13:K13"/>
    <mergeCell ref="L13:O13"/>
    <mergeCell ref="P13:AE14"/>
    <mergeCell ref="B14:G14"/>
    <mergeCell ref="H14:K14"/>
    <mergeCell ref="L14:O14"/>
    <mergeCell ref="A11:A12"/>
    <mergeCell ref="B11:G11"/>
    <mergeCell ref="H11:K11"/>
    <mergeCell ref="L11:O11"/>
    <mergeCell ref="P11:AE12"/>
    <mergeCell ref="B12:G12"/>
    <mergeCell ref="H12:K12"/>
    <mergeCell ref="L12:O12"/>
    <mergeCell ref="A8:A10"/>
    <mergeCell ref="B8:G8"/>
    <mergeCell ref="H8:K8"/>
    <mergeCell ref="L8:O8"/>
    <mergeCell ref="P8:AE9"/>
    <mergeCell ref="B9:G10"/>
    <mergeCell ref="H10:K10"/>
    <mergeCell ref="L10:O10"/>
    <mergeCell ref="P10:AE10"/>
    <mergeCell ref="A3:AB4"/>
    <mergeCell ref="A5:A7"/>
    <mergeCell ref="B5:G5"/>
    <mergeCell ref="H5:K5"/>
    <mergeCell ref="L5:O5"/>
    <mergeCell ref="P5:AE6"/>
    <mergeCell ref="B6:G7"/>
    <mergeCell ref="H7:K7"/>
    <mergeCell ref="L7:O7"/>
    <mergeCell ref="P7:AE7"/>
  </mergeCells>
  <phoneticPr fontId="2"/>
  <conditionalFormatting sqref="A3">
    <cfRule type="expression" dxfId="18" priority="12" stopIfTrue="1">
      <formula>#REF!=1</formula>
    </cfRule>
    <cfRule type="expression" dxfId="17" priority="13" stopIfTrue="1">
      <formula>#REF!=2</formula>
    </cfRule>
  </conditionalFormatting>
  <conditionalFormatting sqref="A5:A6 A11 A13">
    <cfRule type="expression" dxfId="16" priority="14" stopIfTrue="1">
      <formula>#REF!=1</formula>
    </cfRule>
    <cfRule type="expression" dxfId="15" priority="15" stopIfTrue="1">
      <formula>#REF!=2</formula>
    </cfRule>
  </conditionalFormatting>
  <conditionalFormatting sqref="A8:A9">
    <cfRule type="expression" dxfId="14" priority="1" stopIfTrue="1">
      <formula>#REF!=1</formula>
    </cfRule>
    <cfRule type="expression" dxfId="13" priority="2" stopIfTrue="1">
      <formula>#REF!=2</formula>
    </cfRule>
  </conditionalFormatting>
  <conditionalFormatting sqref="H7:K7">
    <cfRule type="expression" dxfId="12" priority="17" stopIfTrue="1">
      <formula>$B$5="加入していない"</formula>
    </cfRule>
  </conditionalFormatting>
  <conditionalFormatting sqref="H10:K10">
    <cfRule type="expression" dxfId="11" priority="19" stopIfTrue="1">
      <formula>$B$8="加入していない"</formula>
    </cfRule>
  </conditionalFormatting>
  <conditionalFormatting sqref="H12:K12">
    <cfRule type="expression" dxfId="10" priority="21" stopIfTrue="1">
      <formula>$B$11="遵守していない"</formula>
    </cfRule>
  </conditionalFormatting>
  <conditionalFormatting sqref="H14:K14">
    <cfRule type="expression" dxfId="9" priority="23" stopIfTrue="1">
      <formula>$B$13="行っていない"</formula>
    </cfRule>
  </conditionalFormatting>
  <conditionalFormatting sqref="L7:O7">
    <cfRule type="expression" dxfId="8" priority="18" stopIfTrue="1">
      <formula>$B$5="加入している"</formula>
    </cfRule>
  </conditionalFormatting>
  <conditionalFormatting sqref="L10:O10">
    <cfRule type="expression" dxfId="7" priority="20" stopIfTrue="1">
      <formula>$B$8="加入している"</formula>
    </cfRule>
  </conditionalFormatting>
  <conditionalFormatting sqref="L12:O12">
    <cfRule type="expression" dxfId="6" priority="22" stopIfTrue="1">
      <formula>$B$11="遵守している"</formula>
    </cfRule>
  </conditionalFormatting>
  <conditionalFormatting sqref="L14:O14">
    <cfRule type="expression" dxfId="5" priority="24" stopIfTrue="1">
      <formula>$B$13="行っている"</formula>
    </cfRule>
  </conditionalFormatting>
  <conditionalFormatting sqref="P7 P10:AE10">
    <cfRule type="cellIs" dxfId="4" priority="16" stopIfTrue="1" operator="notEqual">
      <formula>""</formula>
    </cfRule>
  </conditionalFormatting>
  <conditionalFormatting sqref="AC4:AE4">
    <cfRule type="expression" dxfId="3" priority="8" stopIfTrue="1">
      <formula>#REF!=1</formula>
    </cfRule>
    <cfRule type="expression" dxfId="2" priority="9" stopIfTrue="1">
      <formula>#REF!=2</formula>
    </cfRule>
  </conditionalFormatting>
  <conditionalFormatting sqref="AD3:AE3">
    <cfRule type="expression" dxfId="1" priority="10" stopIfTrue="1">
      <formula>#REF!=1</formula>
    </cfRule>
    <cfRule type="expression" dxfId="0" priority="11" stopIfTrue="1">
      <formula>#REF!=2</formula>
    </cfRule>
  </conditionalFormatting>
  <dataValidations count="4">
    <dataValidation imeMode="hiragana" allowBlank="1" showInputMessage="1" showErrorMessage="1" sqref="P10:AE10 P7" xr:uid="{AFD3E693-2AB1-4D14-8B20-7A152E221A7B}"/>
    <dataValidation type="list" allowBlank="1" showErrorMessage="1" prompt="右のボタンから実施状況を選択してください。" sqref="B13:G13" xr:uid="{28E23382-F54F-4140-ABD0-57FE61AF38BF}">
      <formula1>$AI$7:$AI$8</formula1>
    </dataValidation>
    <dataValidation type="list" allowBlank="1" showErrorMessage="1" prompt="右のボタンから尊守状況を選択してください。" sqref="B11:G11" xr:uid="{55C4507A-E9DE-4CD0-8647-1944BAA83DBF}">
      <formula1>$AI$4:$AI$5</formula1>
    </dataValidation>
    <dataValidation type="list" allowBlank="1" showErrorMessage="1" prompt="右のボタンから加入状況を選択してください。" sqref="B5:G5 B8:G8" xr:uid="{ADC92954-8B33-4C5E-8316-077EE6EDF77E}">
      <formula1>$AI$2:$AI$3</formula1>
    </dataValidation>
  </dataValidations>
  <pageMargins left="0.75" right="0.75" top="1" bottom="1" header="0.51200000000000001" footer="0.51200000000000001"/>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第１号様式</vt:lpstr>
      <vt:lpstr>別紙１</vt:lpstr>
      <vt:lpstr>別紙２</vt:lpstr>
      <vt:lpstr>別紙4-1（物品）</vt:lpstr>
      <vt:lpstr>別紙4-2（役務）</vt:lpstr>
      <vt:lpstr>別紙4-3（賃貸借）</vt:lpstr>
      <vt:lpstr>別紙５</vt:lpstr>
      <vt:lpstr>第１号様式!Print_Area</vt:lpstr>
      <vt:lpstr>別紙１!Print_Area</vt:lpstr>
      <vt:lpstr>別紙２!Print_Area</vt:lpstr>
      <vt:lpstr>'別紙4-1（物品）'!Print_Area</vt:lpstr>
      <vt:lpstr>'別紙4-2（役務）'!Print_Area</vt:lpstr>
      <vt:lpstr>'別紙4-3（賃貸借）'!Print_Area</vt:lpstr>
      <vt:lpstr>別紙５!Print_Area</vt:lpstr>
      <vt:lpstr>'別紙4-1（物品）'!Print_Titles</vt:lpstr>
      <vt:lpstr>'別紙4-2（役務）'!Print_Titles</vt:lpstr>
      <vt:lpstr>'別紙4-3（賃貸借）'!Print_Titles</vt:lpstr>
      <vt:lpstr>代理人</vt:lpstr>
      <vt:lpstr>代理人の有無</vt:lpstr>
      <vt:lpstr>代理人を置かない</vt:lpstr>
      <vt:lpstr>代理人を置く</vt:lpstr>
      <vt:lpstr>置かない</vt:lpstr>
      <vt:lpstr>置く</vt:lpstr>
      <vt:lpstr>第１号様式!中分類コード</vt:lpstr>
      <vt:lpstr>第１号様式!中分類コード表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保坂 大輔</dc:creator>
  <cp:lastModifiedBy>秀樹 江村</cp:lastModifiedBy>
  <cp:lastPrinted>2026-01-08T08:31:37Z</cp:lastPrinted>
  <dcterms:created xsi:type="dcterms:W3CDTF">2022-04-06T01:34:19Z</dcterms:created>
  <dcterms:modified xsi:type="dcterms:W3CDTF">2026-01-20T05:21:57Z</dcterms:modified>
</cp:coreProperties>
</file>